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0.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1"/>
  <workbookPr defaultThemeVersion="166925"/>
  <mc:AlternateContent xmlns:mc="http://schemas.openxmlformats.org/markup-compatibility/2006">
    <mc:Choice Requires="x15">
      <x15ac:absPath xmlns:x15ac="http://schemas.microsoft.com/office/spreadsheetml/2010/11/ac" url="https://emailwsu-my.sharepoint.com/personal/v_sierrajimenez_wsu_edu/Documents/WSU/PhD/Thesis/Paper 1 Methodology/"/>
    </mc:Choice>
  </mc:AlternateContent>
  <xr:revisionPtr revIDLastSave="243" documentId="13_ncr:1_{B479B259-4EAD-DF48-9400-14361EB8B838}" xr6:coauthVersionLast="47" xr6:coauthVersionMax="47" xr10:uidLastSave="{EC1657FB-9BA0-6446-963A-824936C9E513}"/>
  <bookViews>
    <workbookView xWindow="0" yWindow="500" windowWidth="28800" windowHeight="15940"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References" sheetId="10" r:id="rId1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8" i="9" l="1"/>
  <c r="E17" i="9" s="1"/>
  <c r="F18" i="9"/>
  <c r="F17" i="9" s="1"/>
  <c r="G18" i="9"/>
  <c r="H18" i="9"/>
  <c r="H17" i="9" s="1"/>
  <c r="G17" i="9"/>
  <c r="B19" i="9"/>
  <c r="B47" i="9" l="1"/>
  <c r="M30" i="20"/>
  <c r="M29" i="20"/>
  <c r="M28" i="20"/>
  <c r="M26" i="20" s="1"/>
  <c r="M27" i="20"/>
  <c r="F16" i="9" l="1"/>
  <c r="E27" i="9"/>
  <c r="B63" i="9" l="1"/>
  <c r="B55" i="9"/>
  <c r="B3" i="9"/>
  <c r="B26" i="9"/>
  <c r="B21" i="9"/>
  <c r="F32" i="9"/>
  <c r="F31" i="9"/>
  <c r="F30" i="9"/>
  <c r="F29" i="9"/>
  <c r="F28" i="9"/>
  <c r="F27" i="9"/>
  <c r="H20" i="9"/>
  <c r="G20" i="9"/>
  <c r="F20" i="9"/>
  <c r="E20" i="9"/>
  <c r="C17"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scheme val="minor"/>
          </rPr>
          <t xml:space="preserve">Estimated, not measured experimentally.
</t>
        </r>
      </text>
    </comment>
  </commentList>
</comments>
</file>

<file path=xl/sharedStrings.xml><?xml version="1.0" encoding="utf-8"?>
<sst xmlns="http://schemas.openxmlformats.org/spreadsheetml/2006/main" count="279" uniqueCount="173">
  <si>
    <t>Effect of pyrolysis temperature on aromatic cluster size of cellulose char by quantitative multi cross-polarization 13C NMR with long range dipolar dephasing</t>
  </si>
  <si>
    <t>Sample</t>
  </si>
  <si>
    <t>Effect of Cellulose Crystallinity on Solid/Liquid Phase Reactions Responsible for the Formation of Carbonaceous Residues during Pyrolysis</t>
  </si>
  <si>
    <t>Cellulose</t>
  </si>
  <si>
    <t>Moisture (wt %)</t>
  </si>
  <si>
    <t>SA (CO2) m2/g</t>
  </si>
  <si>
    <t>N/A</t>
  </si>
  <si>
    <t>C (wt%)</t>
  </si>
  <si>
    <t>H (wt%)</t>
  </si>
  <si>
    <t>N (wt%)</t>
  </si>
  <si>
    <t>O (wt%)</t>
  </si>
  <si>
    <t>Ash (wt%)</t>
  </si>
  <si>
    <t>&lt;0.1</t>
  </si>
  <si>
    <t>Brighead</t>
  </si>
  <si>
    <t>O-H</t>
  </si>
  <si>
    <t>Alcohols</t>
  </si>
  <si>
    <t>Nearly Complete loss of these groups</t>
  </si>
  <si>
    <t>Acids</t>
  </si>
  <si>
    <t>C=O</t>
  </si>
  <si>
    <t xml:space="preserve">these vibrations are most likely related to esters and lactones. </t>
  </si>
  <si>
    <t>Esters</t>
  </si>
  <si>
    <t>C-O</t>
  </si>
  <si>
    <t>Aromatics</t>
  </si>
  <si>
    <t>Visible</t>
  </si>
  <si>
    <t xml:space="preserve"> indicating the formation of ether or ester like groups within the aromatic structures</t>
  </si>
  <si>
    <t>C=C</t>
  </si>
  <si>
    <t>Aliphatics</t>
  </si>
  <si>
    <t>O-C (Aromatic) O1s Deconvolution (atomic %)</t>
  </si>
  <si>
    <t>O-C (Aliphatic) O1s Deconvolution (atomic %)</t>
  </si>
  <si>
    <t>C=O O1s Deconvolution (atomic %)</t>
  </si>
  <si>
    <t>O2/H2O O1s Deconvolution (atomic %)</t>
  </si>
  <si>
    <t>Deconvolution Peaks (%)</t>
  </si>
  <si>
    <t>C-C Low</t>
  </si>
  <si>
    <t>C-C Primary</t>
  </si>
  <si>
    <t>C-C High</t>
  </si>
  <si>
    <t>O-C-O/C=O</t>
  </si>
  <si>
    <t>O-C-O estimated</t>
  </si>
  <si>
    <t>COO</t>
  </si>
  <si>
    <t>C:O (C1s) (Qualitative)</t>
  </si>
  <si>
    <t>Carbonyl</t>
  </si>
  <si>
    <t>Carboxyl/lactone</t>
  </si>
  <si>
    <t>Ether</t>
  </si>
  <si>
    <t>Defect</t>
  </si>
  <si>
    <t>Aromatic</t>
  </si>
  <si>
    <t>Aliphatic</t>
  </si>
  <si>
    <t>Aromatic and defective aromatic carbons</t>
  </si>
  <si>
    <t>C-H</t>
  </si>
  <si>
    <t>C-X-H</t>
  </si>
  <si>
    <t>C-(2)-H</t>
  </si>
  <si>
    <t>C(-3)-H</t>
  </si>
  <si>
    <t>&lt;1</t>
  </si>
  <si>
    <t>Ether/hydroxyl bonded carbons</t>
  </si>
  <si>
    <t>-</t>
  </si>
  <si>
    <t>C300</t>
  </si>
  <si>
    <t>C400</t>
  </si>
  <si>
    <t>C500</t>
  </si>
  <si>
    <t>C600</t>
  </si>
  <si>
    <t>C700</t>
  </si>
  <si>
    <t>Reference</t>
  </si>
  <si>
    <t>O/C (Molar, daf)</t>
  </si>
  <si>
    <t>H/C</t>
  </si>
  <si>
    <t>Additional Properties</t>
  </si>
  <si>
    <t>Average Pore diameter (nm)</t>
  </si>
  <si>
    <t>Average cluster size (number of carbons)</t>
  </si>
  <si>
    <t>Approximate porosity (%)</t>
  </si>
  <si>
    <t>This work</t>
  </si>
  <si>
    <t>Biochar yield</t>
  </si>
  <si>
    <t>Estimated (Theoretical)  contribution of various C-H bond distances Quantitative data (%)</t>
  </si>
  <si>
    <t>Glucosa (Brodowski et al., 2005)</t>
  </si>
  <si>
    <t>B2CA</t>
  </si>
  <si>
    <t>B3CA</t>
  </si>
  <si>
    <t>B4CA</t>
  </si>
  <si>
    <t>B5CA</t>
  </si>
  <si>
    <t>B6CA</t>
  </si>
  <si>
    <t>DHE( 0 for all hydroxyl and 1 for all ether)</t>
  </si>
  <si>
    <t>DCL( 0 for all carboxyl and 1 for all lactone)</t>
  </si>
  <si>
    <t>Ref</t>
  </si>
  <si>
    <t>Title</t>
  </si>
  <si>
    <t>doi</t>
  </si>
  <si>
    <t>https://doi.org/10.1016/j.carbon.2016.01.031</t>
  </si>
  <si>
    <t xml:space="preserve">Structural analysis of char by Raman spectroscopy: Improving band assignments through computational calculations from first principles </t>
  </si>
  <si>
    <t xml:space="preserve">Improving the deconvolution and interpretation of XPS spectra from chars by ab initio calculations </t>
  </si>
  <si>
    <t>https://doi.org/10.1016/j.carbon.2016.09.012</t>
  </si>
  <si>
    <t>Figure 1. Experimental Raman spectra of chars produced from cellulose at different temperatures. All data were collected using a 532-nm incident light (Smith M. et al., 2016a).</t>
  </si>
  <si>
    <t>Figure 3.  FT-IR transmittance for a thermoseries of cellulose chars produced at temperatures from 300 °C to 700 °C. Dash lines indicate important regions of the various spectra (Smith M. et al., 2016b).</t>
  </si>
  <si>
    <t>Figure 2b. Development of (A) C1s and (B) O1s XPS spectra with increasing pyrolysis temperature (Smith M. et al., 2016b).</t>
  </si>
  <si>
    <t>https://doi.org/10.1016/j.carbon.2017.01.078</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</si>
  <si>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</si>
  <si>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2a. Comparison of the wide-scan XPS results for Avicel cellulose and the resultant chars (Smith M. et al., 2016b).</t>
  </si>
  <si>
    <t xml:space="preserve">Figure 7. Electron spin resonance spectra of cellulose chars. </t>
  </si>
  <si>
    <t>a)</t>
  </si>
  <si>
    <t>c)</t>
  </si>
  <si>
    <t>d)</t>
  </si>
  <si>
    <t>b)</t>
  </si>
  <si>
    <t>Figure 8. LDI FTICR-MS results, a) C400, b) C500, c) C600, and d) C700.</t>
  </si>
  <si>
    <t>ESR g-factor</t>
  </si>
  <si>
    <t>ESR radical concentration (spin/g)</t>
  </si>
  <si>
    <r>
      <rPr>
        <i/>
        <sz val="12"/>
        <color theme="1"/>
        <rFont val="Times New Roman"/>
        <family val="1"/>
      </rPr>
      <t xml:space="preserve">v </t>
    </r>
    <r>
      <rPr>
        <sz val="12"/>
        <color theme="1"/>
        <rFont val="Times New Roman"/>
        <family val="1"/>
      </rPr>
      <t>(GHz)</t>
    </r>
  </si>
  <si>
    <r>
      <t>B</t>
    </r>
    <r>
      <rPr>
        <vertAlign val="subscript"/>
        <sz val="12"/>
        <color theme="1"/>
        <rFont val="Times New Roman"/>
        <family val="1"/>
      </rPr>
      <t>0</t>
    </r>
    <r>
      <rPr>
        <sz val="12"/>
        <color theme="1"/>
        <rFont val="Times New Roman"/>
        <family val="1"/>
      </rPr>
      <t xml:space="preserve"> (mT)</t>
    </r>
  </si>
  <si>
    <t>(Smith M. et al., 2016b)</t>
  </si>
  <si>
    <t>(Smith, M. et al., 2017b )</t>
  </si>
  <si>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</si>
  <si>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</si>
  <si>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</si>
  <si>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</si>
  <si>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</si>
  <si>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</si>
  <si>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</si>
  <si>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(Smith, M. et al., 2017a)</t>
  </si>
  <si>
    <t>Figure 5. Changes in Char multi-CP 13C NMR spectra with temperature (Smith, M. et al., 2017a)</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</si>
  <si>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</si>
  <si>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https://doi.org/10.1016/J.BIOMBIOE.2017.05.015</t>
  </si>
  <si>
    <t>Chemical and Morphological Evaluation of Chars Produced from Primary Biomass Constituents: Cellulose, Xylan, and Lignin</t>
  </si>
  <si>
    <t>Smith, M. et al., 2017b</t>
  </si>
  <si>
    <t>Smith, M. et al., 2016a</t>
  </si>
  <si>
    <t>Smith, M. et al., 2016b</t>
  </si>
  <si>
    <t>Smith, M. et al., 2017a</t>
  </si>
  <si>
    <t>Wang, Z. et al., 2014</t>
  </si>
  <si>
    <t>https://doi.org/10.1021/IE4014259</t>
  </si>
  <si>
    <t>(Smith, M. et al., 2016b; Wang., Z. et al., 2014)</t>
  </si>
  <si>
    <t>(Smith, M. et al., 2016b)</t>
  </si>
  <si>
    <t>mellitic acid</t>
  </si>
  <si>
    <t>benzenepentacarboxylic acid</t>
  </si>
  <si>
    <t>1,2,4,5-</t>
  </si>
  <si>
    <t>pyromellitic acid</t>
  </si>
  <si>
    <t>1,2,3,4-</t>
  </si>
  <si>
    <t>prehnitic acid</t>
  </si>
  <si>
    <t>1,2,3,5-</t>
  </si>
  <si>
    <t>mellophanic acid</t>
  </si>
  <si>
    <t>1,3,5-</t>
  </si>
  <si>
    <t>trimesic acid</t>
  </si>
  <si>
    <t>1,2,4-</t>
  </si>
  <si>
    <t>trimellictic acid</t>
  </si>
  <si>
    <t>1,2,3-</t>
  </si>
  <si>
    <t>hemimellictic acid</t>
  </si>
  <si>
    <t>1,4-</t>
  </si>
  <si>
    <t>terephthalic acid</t>
  </si>
  <si>
    <t>1,3-</t>
  </si>
  <si>
    <t>isophthalic acid</t>
  </si>
  <si>
    <t>1,2-</t>
  </si>
  <si>
    <t>phthalic acid</t>
  </si>
  <si>
    <t>benzoic acid</t>
  </si>
  <si>
    <t>B1CA</t>
  </si>
  <si>
    <t>Retention time HPLC (min)</t>
  </si>
  <si>
    <r>
      <t>Molecular Weight (g mol</t>
    </r>
    <r>
      <rPr>
        <b/>
        <vertAlign val="superscript"/>
        <sz val="12"/>
        <color theme="1"/>
        <rFont val="Times New Roman"/>
        <family val="1"/>
      </rPr>
      <t>-1</t>
    </r>
    <r>
      <rPr>
        <b/>
        <sz val="12"/>
        <color theme="1"/>
        <rFont val="Times New Roman"/>
        <family val="1"/>
      </rPr>
      <t>)</t>
    </r>
  </si>
  <si>
    <t>Carboxyl position</t>
  </si>
  <si>
    <t>Name</t>
  </si>
  <si>
    <t>BPCA type</t>
  </si>
  <si>
    <t>Standard Curve</t>
  </si>
  <si>
    <t>Trimellitic</t>
  </si>
  <si>
    <t>B2CA-1</t>
  </si>
  <si>
    <t>Hemimellitic</t>
  </si>
  <si>
    <t>B3CA-2</t>
  </si>
  <si>
    <t>Mellophanic</t>
  </si>
  <si>
    <t>Pyromellitic</t>
  </si>
  <si>
    <t>B4CA-2</t>
  </si>
  <si>
    <t>Prehnitic</t>
  </si>
  <si>
    <t>B4CA-3</t>
  </si>
  <si>
    <t>Benzenepentacarcoxylic</t>
  </si>
  <si>
    <t>Mellitic</t>
  </si>
  <si>
    <t>Standard error</t>
  </si>
  <si>
    <t>Acid Name</t>
  </si>
  <si>
    <t>BPCA</t>
  </si>
  <si>
    <t xml:space="preserve">Figure 9. BPCA yields. </t>
  </si>
  <si>
    <t>Figure 10. BPCA HPLC spectra, a) C400, b) C500, c) C600, and d) C700.</t>
  </si>
  <si>
    <t>Trimellitic acid / B2CA-1</t>
  </si>
  <si>
    <t>Hemimellitic acid/ B3CA-2</t>
  </si>
  <si>
    <t>Mellophanic acid / B3CA-2</t>
  </si>
  <si>
    <t>Pyromellitic acid / B4CA-2</t>
  </si>
  <si>
    <t>Prhenitic acid / B4CA-3</t>
  </si>
  <si>
    <t>Benzenepentacarcoxylic acid / B5CA</t>
  </si>
  <si>
    <t>Mellitic acid /B6CA</t>
  </si>
  <si>
    <t>Helium Density (g/L)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</si>
</sst>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
    <numFmt numFmtId="166" formatCode="0.000"/>
  </numFmts>
  <fonts count="20"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rgb="FF000000"/>
      <name val="Calibri"/>
      <family val="2"/>
      <scheme val="minor"/>
    </font>
  </fonts>
  <fills count="6">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52">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0" fontId="7" fillId="2" borderId="0" xfId="0" applyFont="1" applyFill="1" applyAlignment="1">
      <alignment horizontal="center" vertical="center" wrapText="1"/>
    </xf>
    <xf numFmtId="166" fontId="5" fillId="2" borderId="0" xfId="0" applyNumberFormat="1" applyFont="1" applyFill="1"/>
    <xf numFmtId="165" fontId="5" fillId="2" borderId="0" xfId="0" applyNumberFormat="1" applyFont="1" applyFill="1"/>
    <xf numFmtId="1" fontId="5" fillId="2" borderId="0" xfId="0" applyNumberFormat="1" applyFont="1" applyFill="1" applyAlignment="1">
      <alignment horizontal="right"/>
    </xf>
    <xf numFmtId="0" fontId="11" fillId="2" borderId="0" xfId="1" applyFont="1" applyFill="1"/>
    <xf numFmtId="0" fontId="5" fillId="2" borderId="3" xfId="0" applyFont="1" applyFill="1" applyBorder="1" applyAlignment="1">
      <alignment horizontal="center" vertical="center" wrapText="1"/>
    </xf>
    <xf numFmtId="0" fontId="5" fillId="2" borderId="0" xfId="0" applyFont="1" applyFill="1" applyAlignment="1">
      <alignment horizontal="center" vertical="center" wrapText="1"/>
    </xf>
    <xf numFmtId="0" fontId="5" fillId="2" borderId="1" xfId="0" applyFont="1" applyFill="1" applyBorder="1" applyAlignment="1">
      <alignment horizontal="center" vertical="center" wrapText="1"/>
    </xf>
    <xf numFmtId="0" fontId="7" fillId="2" borderId="0" xfId="0" applyFont="1" applyFill="1" applyAlignment="1">
      <alignment horizontal="center" vertical="center" wrapText="1"/>
    </xf>
    <xf numFmtId="0" fontId="7"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wrapText="1"/>
    </xf>
    <xf numFmtId="0" fontId="5" fillId="2" borderId="0" xfId="0" applyFont="1" applyFill="1" applyAlignment="1">
      <alignment horizont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vertical="top"/>
    </xf>
    <xf numFmtId="0" fontId="5" fillId="2" borderId="0" xfId="0" applyFont="1" applyFill="1" applyAlignment="1">
      <alignment horizontal="center" vertical="center"/>
    </xf>
    <xf numFmtId="0" fontId="16" fillId="5" borderId="0" xfId="2" applyFont="1" applyAlignment="1">
      <alignment horizontal="center"/>
    </xf>
    <xf numFmtId="0" fontId="6" fillId="2" borderId="2" xfId="0" applyFont="1" applyFill="1" applyBorder="1" applyAlignment="1">
      <alignment horizontal="center"/>
    </xf>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F9C0E6"/>
      <color rgb="FFD883FF"/>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1" Type="http://schemas.openxmlformats.org/officeDocument/2006/relationships/image" Target="../media/image4.jpeg"/></Relationships>
</file>

<file path=xl/drawings/_rels/drawing4.xml.rels><?xml version="1.0" encoding="UTF-8" standalone="yes"?>
<Relationships xmlns="http://schemas.openxmlformats.org/package/2006/relationships"><Relationship Id="rId1" Type="http://schemas.openxmlformats.org/officeDocument/2006/relationships/image" Target="../media/image5.jpeg"/></Relationships>
</file>

<file path=xl/drawings/_rels/drawing5.xml.rels><?xml version="1.0" encoding="UTF-8" standalone="yes"?>
<Relationships xmlns="http://schemas.openxmlformats.org/package/2006/relationships"><Relationship Id="rId1" Type="http://schemas.openxmlformats.org/officeDocument/2006/relationships/image" Target="../media/image6.jpeg"/></Relationships>
</file>

<file path=xl/drawings/_rels/drawing6.xml.rels><?xml version="1.0" encoding="UTF-8" standalone="yes"?>
<Relationships xmlns="http://schemas.openxmlformats.org/package/2006/relationships"><Relationship Id="rId1" Type="http://schemas.openxmlformats.org/officeDocument/2006/relationships/image" Target="../media/image7.jpeg"/></Relationships>
</file>

<file path=xl/drawings/_rels/drawing7.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_rels/drawing9.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179924</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3" Type="http://schemas.openxmlformats.org/officeDocument/2006/relationships/hyperlink" Target="https://doi.org/10.1016/j.carbon.2017.01.078" TargetMode="External"/><Relationship Id="rId2" Type="http://schemas.openxmlformats.org/officeDocument/2006/relationships/hyperlink" Target="https://doi.org/10.1016/j.carbon.2016.09.012" TargetMode="External"/><Relationship Id="rId1" Type="http://schemas.openxmlformats.org/officeDocument/2006/relationships/hyperlink" Target="https://doi.org/10.1016/j.carbon.2016.01.031"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2:Q78"/>
  <sheetViews>
    <sheetView tabSelected="1" zoomScale="150" zoomScaleNormal="150" workbookViewId="0">
      <selection activeCell="F49" sqref="F49:F50"/>
    </sheetView>
  </sheetViews>
  <sheetFormatPr baseColWidth="10"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2" spans="2:10" s="6" customFormat="1" ht="17" x14ac:dyDescent="0.2">
      <c r="B2" s="20" t="s">
        <v>1</v>
      </c>
      <c r="C2" s="20" t="s">
        <v>3</v>
      </c>
      <c r="D2" s="20" t="s">
        <v>53</v>
      </c>
      <c r="E2" s="20" t="s">
        <v>54</v>
      </c>
      <c r="F2" s="20" t="s">
        <v>55</v>
      </c>
      <c r="G2" s="20" t="s">
        <v>56</v>
      </c>
      <c r="H2" s="20" t="s">
        <v>57</v>
      </c>
      <c r="I2" s="21" t="s">
        <v>76</v>
      </c>
    </row>
    <row r="3" spans="2:10" x14ac:dyDescent="0.2">
      <c r="B3" s="46" t="str">
        <f>HYPERLINK("#CHN!A1","Ultimate Analysis")</f>
        <v>Ultimate Analysis</v>
      </c>
      <c r="C3" s="47"/>
      <c r="D3" s="47"/>
      <c r="E3" s="47"/>
      <c r="F3" s="47"/>
      <c r="G3" s="47"/>
      <c r="H3" s="47"/>
      <c r="I3" s="18"/>
    </row>
    <row r="4" spans="2:10" x14ac:dyDescent="0.2">
      <c r="B4" s="4" t="s">
        <v>7</v>
      </c>
      <c r="C4" s="7">
        <f>42.8*100/100.06</f>
        <v>42.774335398760741</v>
      </c>
      <c r="D4" s="7">
        <f>44.5*100/100.03</f>
        <v>44.486654003798861</v>
      </c>
      <c r="E4" s="7">
        <v>74.5</v>
      </c>
      <c r="F4" s="7">
        <v>81.410448506642695</v>
      </c>
      <c r="G4" s="7">
        <f>87.8*100/100.49</f>
        <v>87.37187779878596</v>
      </c>
      <c r="H4" s="7">
        <f>90.2*100/100.19</f>
        <v>90.028945004491462</v>
      </c>
      <c r="I4" s="38" t="s">
        <v>99</v>
      </c>
    </row>
    <row r="5" spans="2:10" x14ac:dyDescent="0.2">
      <c r="B5" s="4" t="s">
        <v>8</v>
      </c>
      <c r="C5" s="7">
        <f>6.4*100/100.06</f>
        <v>6.3961623026184284</v>
      </c>
      <c r="D5" s="7">
        <f>6.1*100/100.03</f>
        <v>6.0981705488353493</v>
      </c>
      <c r="E5" s="7">
        <v>3.92</v>
      </c>
      <c r="F5" s="7">
        <v>3.4961542303466189</v>
      </c>
      <c r="G5" s="7">
        <f>2.7*100/100.48</f>
        <v>2.6871019108280252</v>
      </c>
      <c r="H5" s="7">
        <f>2*100/100.2</f>
        <v>1.996007984031936</v>
      </c>
      <c r="I5" s="39"/>
    </row>
    <row r="6" spans="2:10" x14ac:dyDescent="0.2">
      <c r="B6" s="4" t="s">
        <v>9</v>
      </c>
      <c r="C6" s="7">
        <f>0.06*100/100.06</f>
        <v>5.9964021587047771E-2</v>
      </c>
      <c r="D6" s="7">
        <f>0.03*100/100.03</f>
        <v>2.9991002699190243E-2</v>
      </c>
      <c r="E6" s="7">
        <v>0.08</v>
      </c>
      <c r="F6" s="7">
        <v>0.10987913295375087</v>
      </c>
      <c r="G6" s="7">
        <f>0.24*100/100.52</f>
        <v>0.23875845602865103</v>
      </c>
      <c r="H6" s="7">
        <f>0.36*100/100.19</f>
        <v>0.35931729713544269</v>
      </c>
      <c r="I6" s="39"/>
    </row>
    <row r="7" spans="2:10" x14ac:dyDescent="0.2">
      <c r="B7" s="4" t="s">
        <v>10</v>
      </c>
      <c r="C7" s="7">
        <f>50.8*100/100.06</f>
        <v>50.769538277033782</v>
      </c>
      <c r="D7" s="7">
        <f>49.4*100/100.03</f>
        <v>49.385184444666599</v>
      </c>
      <c r="E7" s="7">
        <v>21.5</v>
      </c>
      <c r="F7" s="7">
        <v>14.983518130056938</v>
      </c>
      <c r="G7" s="7">
        <f>9.3+0.4</f>
        <v>9.7000000000000011</v>
      </c>
      <c r="H7" s="7">
        <f>(7.5+0.12)*100/100.05</f>
        <v>7.6161919040479766</v>
      </c>
      <c r="I7" s="39"/>
    </row>
    <row r="8" spans="2:10" x14ac:dyDescent="0.2">
      <c r="B8" s="4" t="s">
        <v>11</v>
      </c>
      <c r="C8" s="7" t="s">
        <v>12</v>
      </c>
      <c r="D8" s="7" t="s">
        <v>12</v>
      </c>
      <c r="E8" s="7" t="s">
        <v>12</v>
      </c>
      <c r="F8" s="7" t="s">
        <v>12</v>
      </c>
      <c r="G8" s="7" t="s">
        <v>12</v>
      </c>
      <c r="H8" s="7" t="s">
        <v>12</v>
      </c>
      <c r="I8" s="39"/>
    </row>
    <row r="9" spans="2:10" x14ac:dyDescent="0.2">
      <c r="B9" s="4" t="s">
        <v>59</v>
      </c>
      <c r="C9" s="8">
        <v>0.90909090909090906</v>
      </c>
      <c r="D9" s="8">
        <v>0.83333333333333337</v>
      </c>
      <c r="E9" s="8">
        <v>0.21739130434782611</v>
      </c>
      <c r="F9" s="8">
        <v>0.13698630136986301</v>
      </c>
      <c r="G9" s="8">
        <f>(G7*12.011)/(G4*15.999)</f>
        <v>8.3346313095308766E-2</v>
      </c>
      <c r="H9" s="8">
        <v>6.25E-2</v>
      </c>
      <c r="I9" s="39"/>
    </row>
    <row r="10" spans="2:10" x14ac:dyDescent="0.2">
      <c r="B10" s="4" t="s">
        <v>60</v>
      </c>
      <c r="C10" s="8"/>
      <c r="D10" s="8"/>
      <c r="E10" s="8">
        <v>0.62707194387944809</v>
      </c>
      <c r="F10" s="8">
        <v>0.51179732492351981</v>
      </c>
      <c r="G10" s="8">
        <v>0.3664855234279874</v>
      </c>
      <c r="H10" s="8">
        <v>0.26424758936501019</v>
      </c>
      <c r="I10" s="39"/>
      <c r="J10" s="34"/>
    </row>
    <row r="11" spans="2:10" x14ac:dyDescent="0.2">
      <c r="B11" s="4" t="s">
        <v>13</v>
      </c>
      <c r="C11" s="8"/>
      <c r="D11" s="8"/>
      <c r="E11" s="8">
        <v>0.37292805612055191</v>
      </c>
      <c r="F11" s="8">
        <v>0.48820267507648002</v>
      </c>
      <c r="G11" s="8">
        <v>0.63351447657201265</v>
      </c>
      <c r="H11" s="8">
        <v>0.73575241063498975</v>
      </c>
    </row>
    <row r="12" spans="2:10" x14ac:dyDescent="0.2">
      <c r="B12" s="47" t="s">
        <v>61</v>
      </c>
      <c r="C12" s="47"/>
      <c r="D12" s="47"/>
      <c r="E12" s="47"/>
      <c r="F12" s="47"/>
      <c r="G12" s="47"/>
      <c r="H12" s="47"/>
      <c r="I12" s="18"/>
    </row>
    <row r="13" spans="2:10" x14ac:dyDescent="0.2">
      <c r="B13" s="9" t="s">
        <v>4</v>
      </c>
      <c r="C13" s="10">
        <v>3.6</v>
      </c>
      <c r="D13" s="10">
        <v>2.7</v>
      </c>
      <c r="E13" s="10">
        <v>2.6</v>
      </c>
      <c r="F13" s="10">
        <v>1.7</v>
      </c>
      <c r="G13" s="10">
        <v>1</v>
      </c>
      <c r="H13" s="10">
        <v>1</v>
      </c>
      <c r="I13" s="38" t="s">
        <v>99</v>
      </c>
    </row>
    <row r="14" spans="2:10" x14ac:dyDescent="0.2">
      <c r="B14" s="9" t="s">
        <v>5</v>
      </c>
      <c r="C14" s="10" t="s">
        <v>52</v>
      </c>
      <c r="D14" s="10">
        <v>21</v>
      </c>
      <c r="E14" s="10">
        <v>264</v>
      </c>
      <c r="F14" s="10">
        <v>383</v>
      </c>
      <c r="G14" s="10">
        <v>485</v>
      </c>
      <c r="H14" s="10">
        <v>576</v>
      </c>
      <c r="I14" s="39"/>
    </row>
    <row r="15" spans="2:10" ht="17" x14ac:dyDescent="0.2">
      <c r="B15" s="9" t="s">
        <v>62</v>
      </c>
      <c r="C15" s="7"/>
      <c r="D15" s="7">
        <v>2.29</v>
      </c>
      <c r="E15" s="7">
        <v>0.87</v>
      </c>
      <c r="F15" s="7">
        <v>0.84</v>
      </c>
      <c r="G15" s="7">
        <v>0.87</v>
      </c>
      <c r="H15" s="7">
        <v>0.89</v>
      </c>
      <c r="I15" s="5" t="s">
        <v>100</v>
      </c>
    </row>
    <row r="16" spans="2:10" ht="17" customHeight="1" x14ac:dyDescent="0.2">
      <c r="B16" s="4" t="s">
        <v>63</v>
      </c>
      <c r="C16" s="7" t="s">
        <v>52</v>
      </c>
      <c r="D16" s="7">
        <v>8</v>
      </c>
      <c r="E16" s="7">
        <v>42</v>
      </c>
      <c r="F16" s="7">
        <f>42+12</f>
        <v>54</v>
      </c>
      <c r="G16" s="7">
        <v>66</v>
      </c>
      <c r="H16" s="7">
        <v>70</v>
      </c>
      <c r="I16" s="33" t="s">
        <v>65</v>
      </c>
    </row>
    <row r="17" spans="2:17" ht="17" customHeight="1" x14ac:dyDescent="0.2">
      <c r="B17" s="4" t="s">
        <v>64</v>
      </c>
      <c r="C17" s="11">
        <f>(C18-1000)/C18*100</f>
        <v>28.571428571428569</v>
      </c>
      <c r="D17" s="11" t="s">
        <v>52</v>
      </c>
      <c r="E17" s="11">
        <f>((E18-1000)/E18)*100</f>
        <v>35.794542536115571</v>
      </c>
      <c r="F17" s="11">
        <f>((F18-1000)/F18)*100</f>
        <v>31.949642735624362</v>
      </c>
      <c r="G17" s="11">
        <f>((G18-1000)/G18)*100</f>
        <v>35.938500960922489</v>
      </c>
      <c r="H17" s="11">
        <f>((H18-1000)/H18)*100</f>
        <v>42.296595499134447</v>
      </c>
      <c r="I17" s="41" t="s">
        <v>65</v>
      </c>
    </row>
    <row r="18" spans="2:17" ht="17" customHeight="1" x14ac:dyDescent="0.2">
      <c r="B18" s="4" t="s">
        <v>172</v>
      </c>
      <c r="C18" s="10">
        <v>1400</v>
      </c>
      <c r="D18" s="10" t="s">
        <v>52</v>
      </c>
      <c r="E18" s="36">
        <f>AVERAGE(1556,1559)</f>
        <v>1557.5</v>
      </c>
      <c r="F18" s="36">
        <f>AVERAGE(1471,1468)</f>
        <v>1469.5</v>
      </c>
      <c r="G18" s="36">
        <f>AVERAGE(1560,1562)</f>
        <v>1561</v>
      </c>
      <c r="H18" s="36">
        <f>AVERAGE(1735,1731)</f>
        <v>1733</v>
      </c>
      <c r="I18" s="41"/>
      <c r="N18" s="36"/>
      <c r="O18" s="36"/>
      <c r="P18" s="36"/>
      <c r="Q18" s="36"/>
    </row>
    <row r="19" spans="2:17" ht="17" customHeight="1" x14ac:dyDescent="0.2">
      <c r="B19" s="37" t="str">
        <f>HYPERLINK("#LDI_FTICR_MS!A1","Median molecular weight from LDI")</f>
        <v>Median molecular weight from LDI</v>
      </c>
      <c r="C19" s="10" t="s">
        <v>52</v>
      </c>
      <c r="D19" s="10" t="s">
        <v>52</v>
      </c>
      <c r="E19" s="36">
        <v>1492</v>
      </c>
      <c r="F19" s="36">
        <v>1777</v>
      </c>
      <c r="G19" s="36">
        <v>2163</v>
      </c>
      <c r="H19" s="36">
        <v>1994.01</v>
      </c>
      <c r="I19" s="41"/>
      <c r="N19" s="12"/>
      <c r="O19" s="12"/>
      <c r="P19" s="12"/>
      <c r="Q19" s="12"/>
    </row>
    <row r="20" spans="2:17" ht="17" customHeight="1" x14ac:dyDescent="0.2">
      <c r="B20" s="4" t="s">
        <v>66</v>
      </c>
      <c r="C20" s="10"/>
      <c r="D20" s="10"/>
      <c r="E20" s="7">
        <f>AVERAGE(0.8061/4.4396,0.8516/4.3596,0.9245/4.7749,0.7917,4.6222,0.853/4.6674,0.7706/4.6618,0.777/4.2811,0.8639/4.4843,0.8383/4.8562,0.7615/4.8858,0.8023/4.4801)*100</f>
        <v>60.118288972571932</v>
      </c>
      <c r="F20" s="7">
        <f>AVERAGE(0.5854/4.7864,0.6487/4.6118,0.6195/4.5517,0.5923/4.258,0.6065/4.2,0.642/4.6547,0.5797/4.1586,0.6637/4.7373)*100</f>
        <v>13.750003528408039</v>
      </c>
      <c r="G20" s="7">
        <f>AVERAGE(0.431/4.325,0.4096/4.0225,0.4083/4.212,0.4627/4.469,0.4401/4.32,0.5355/4.9336,0.448/4.4312,0.4811/4.511,0.5025/4.6745,0.4701/4.5262,0.4849/4.5479,0.4779/4.4821,0.466/4.5006,0.4438/4.267)*100</f>
        <v>10.373395811844361</v>
      </c>
      <c r="H20" s="7">
        <f>AVERAGE(0.3346/4.2746,0.3905/4.9487,0.2936/4.3585,0.3793/4.5672,0.3692/4.5872,0.4081/4.8929,0.3678/4.4431,0.4271/5.0525,0.3887/4.6164,0.3937/4.6996)*100</f>
        <v>8.0677400552799394</v>
      </c>
      <c r="I20" s="42"/>
    </row>
    <row r="21" spans="2:17" x14ac:dyDescent="0.2">
      <c r="B21" s="46" t="str">
        <f>HYPERLINK("#ESR!A1", "Electron Spin Resonance")</f>
        <v>Electron Spin Resonance</v>
      </c>
      <c r="C21" s="47"/>
      <c r="D21" s="47"/>
      <c r="E21" s="47"/>
      <c r="F21" s="47"/>
      <c r="G21" s="47"/>
      <c r="H21" s="47"/>
      <c r="I21" s="19"/>
    </row>
    <row r="22" spans="2:17" ht="19" x14ac:dyDescent="0.25">
      <c r="B22" s="4" t="s">
        <v>98</v>
      </c>
      <c r="C22" s="11" t="s">
        <v>52</v>
      </c>
      <c r="D22" s="11" t="s">
        <v>52</v>
      </c>
      <c r="E22" s="11" t="s">
        <v>101</v>
      </c>
      <c r="F22" s="11" t="s">
        <v>101</v>
      </c>
      <c r="G22" s="11" t="s">
        <v>102</v>
      </c>
      <c r="H22" s="11" t="s">
        <v>103</v>
      </c>
      <c r="I22" s="43" t="s">
        <v>65</v>
      </c>
    </row>
    <row r="23" spans="2:17" ht="17" customHeight="1" x14ac:dyDescent="0.2">
      <c r="B23" s="4" t="s">
        <v>97</v>
      </c>
      <c r="C23" s="10" t="s">
        <v>52</v>
      </c>
      <c r="D23" s="10" t="s">
        <v>52</v>
      </c>
      <c r="E23" s="10">
        <v>9.8375000000000004</v>
      </c>
      <c r="F23" s="10">
        <v>9.8330000000000002</v>
      </c>
      <c r="G23" s="10">
        <v>9.8422000000000001</v>
      </c>
      <c r="H23" s="10">
        <v>9.8356999999999992</v>
      </c>
      <c r="I23" s="41"/>
    </row>
    <row r="24" spans="2:17" ht="17" customHeight="1" x14ac:dyDescent="0.2">
      <c r="B24" s="4" t="s">
        <v>95</v>
      </c>
      <c r="C24" s="11" t="s">
        <v>52</v>
      </c>
      <c r="D24" s="11" t="s">
        <v>52</v>
      </c>
      <c r="E24" s="13">
        <v>2.0061</v>
      </c>
      <c r="F24" s="13">
        <v>2.0059</v>
      </c>
      <c r="G24" s="13">
        <v>2.0059999999999998</v>
      </c>
      <c r="H24" s="13">
        <v>2.0295999999999998</v>
      </c>
      <c r="I24" s="41"/>
    </row>
    <row r="25" spans="2:17" ht="18" x14ac:dyDescent="0.2">
      <c r="B25" s="4" t="s">
        <v>96</v>
      </c>
      <c r="C25" s="10" t="s">
        <v>52</v>
      </c>
      <c r="D25" s="10" t="s">
        <v>52</v>
      </c>
      <c r="E25" s="10" t="s">
        <v>104</v>
      </c>
      <c r="F25" s="10" t="s">
        <v>105</v>
      </c>
      <c r="G25" s="10" t="s">
        <v>106</v>
      </c>
      <c r="H25" s="10" t="s">
        <v>107</v>
      </c>
      <c r="I25" s="42"/>
    </row>
    <row r="26" spans="2:17" ht="18" customHeight="1" x14ac:dyDescent="0.2">
      <c r="B26" s="46" t="str">
        <f>HYPERLINK("#NMR!A1"," Multi CP 13C NMR")</f>
        <v xml:space="preserve"> Multi CP 13C NMR</v>
      </c>
      <c r="C26" s="47"/>
      <c r="D26" s="47"/>
      <c r="E26" s="47"/>
      <c r="F26" s="47"/>
      <c r="G26" s="47"/>
      <c r="H26" s="47"/>
      <c r="I26" s="18"/>
    </row>
    <row r="27" spans="2:17" x14ac:dyDescent="0.2">
      <c r="B27" s="4" t="s">
        <v>39</v>
      </c>
      <c r="C27" s="10" t="s">
        <v>52</v>
      </c>
      <c r="D27" s="10" t="s">
        <v>52</v>
      </c>
      <c r="E27" s="12">
        <f>3</f>
        <v>3</v>
      </c>
      <c r="F27" s="35">
        <f>3-4/6</f>
        <v>2.3333333333333335</v>
      </c>
      <c r="G27" s="12">
        <v>1</v>
      </c>
      <c r="H27" s="4">
        <v>2</v>
      </c>
      <c r="I27" s="38" t="s">
        <v>108</v>
      </c>
    </row>
    <row r="28" spans="2:17" x14ac:dyDescent="0.2">
      <c r="B28" s="4" t="s">
        <v>40</v>
      </c>
      <c r="C28" s="10" t="s">
        <v>52</v>
      </c>
      <c r="D28" s="10" t="s">
        <v>52</v>
      </c>
      <c r="E28" s="12">
        <v>5</v>
      </c>
      <c r="F28" s="35">
        <f>4-4/6</f>
        <v>3.3333333333333335</v>
      </c>
      <c r="G28" s="12">
        <v>3</v>
      </c>
      <c r="H28" s="4">
        <v>2</v>
      </c>
      <c r="I28" s="39"/>
    </row>
    <row r="29" spans="2:17" x14ac:dyDescent="0.2">
      <c r="B29" s="4" t="s">
        <v>41</v>
      </c>
      <c r="C29" s="10" t="s">
        <v>52</v>
      </c>
      <c r="D29" s="10" t="s">
        <v>52</v>
      </c>
      <c r="E29" s="12">
        <v>10</v>
      </c>
      <c r="F29" s="35">
        <f>13-4/6</f>
        <v>12.333333333333334</v>
      </c>
      <c r="G29" s="12">
        <v>7</v>
      </c>
      <c r="H29" s="4">
        <v>5</v>
      </c>
      <c r="I29" s="39"/>
    </row>
    <row r="30" spans="2:17" x14ac:dyDescent="0.2">
      <c r="B30" s="4" t="s">
        <v>42</v>
      </c>
      <c r="C30" s="10" t="s">
        <v>52</v>
      </c>
      <c r="D30" s="10" t="s">
        <v>52</v>
      </c>
      <c r="E30" s="12">
        <v>14</v>
      </c>
      <c r="F30" s="35">
        <f>12-4/6</f>
        <v>11.333333333333334</v>
      </c>
      <c r="G30" s="12">
        <v>7</v>
      </c>
      <c r="H30" s="4">
        <v>13</v>
      </c>
      <c r="I30" s="39"/>
    </row>
    <row r="31" spans="2:17" x14ac:dyDescent="0.2">
      <c r="B31" s="4" t="s">
        <v>43</v>
      </c>
      <c r="C31" s="10" t="s">
        <v>52</v>
      </c>
      <c r="D31" s="10" t="s">
        <v>52</v>
      </c>
      <c r="E31" s="12">
        <v>51</v>
      </c>
      <c r="F31" s="35">
        <f>68-4/6</f>
        <v>67.333333333333329</v>
      </c>
      <c r="G31" s="12">
        <v>82</v>
      </c>
      <c r="H31" s="4">
        <v>78</v>
      </c>
      <c r="I31" s="39"/>
    </row>
    <row r="32" spans="2:17" x14ac:dyDescent="0.2">
      <c r="B32" s="4" t="s">
        <v>44</v>
      </c>
      <c r="C32" s="10" t="s">
        <v>52</v>
      </c>
      <c r="D32" s="10" t="s">
        <v>52</v>
      </c>
      <c r="E32" s="12">
        <v>17</v>
      </c>
      <c r="F32" s="35">
        <f>4-4/6</f>
        <v>3.3333333333333335</v>
      </c>
      <c r="G32" s="4">
        <v>0</v>
      </c>
      <c r="H32" s="4">
        <v>0</v>
      </c>
      <c r="I32" s="39"/>
    </row>
    <row r="33" spans="2:9" x14ac:dyDescent="0.2">
      <c r="B33" s="45" t="s">
        <v>67</v>
      </c>
      <c r="C33" s="45"/>
      <c r="D33" s="45"/>
      <c r="E33" s="45"/>
      <c r="F33" s="45"/>
      <c r="G33" s="45"/>
      <c r="H33" s="45"/>
      <c r="I33" s="39"/>
    </row>
    <row r="34" spans="2:9" x14ac:dyDescent="0.2">
      <c r="B34" s="45" t="s">
        <v>45</v>
      </c>
      <c r="C34" s="45"/>
      <c r="D34" s="45"/>
      <c r="E34" s="45"/>
      <c r="F34" s="45"/>
      <c r="G34" s="45"/>
      <c r="H34" s="45"/>
      <c r="I34" s="39"/>
    </row>
    <row r="35" spans="2:9" x14ac:dyDescent="0.2">
      <c r="B35" s="4" t="s">
        <v>46</v>
      </c>
      <c r="C35" s="10" t="s">
        <v>52</v>
      </c>
      <c r="D35" s="10" t="s">
        <v>52</v>
      </c>
      <c r="E35" s="10">
        <v>15</v>
      </c>
      <c r="F35" s="10">
        <v>31</v>
      </c>
      <c r="G35" s="10">
        <v>37</v>
      </c>
      <c r="H35" s="10">
        <v>35</v>
      </c>
      <c r="I35" s="39"/>
    </row>
    <row r="36" spans="2:9" x14ac:dyDescent="0.2">
      <c r="B36" s="4" t="s">
        <v>47</v>
      </c>
      <c r="C36" s="10" t="s">
        <v>52</v>
      </c>
      <c r="D36" s="10" t="s">
        <v>52</v>
      </c>
      <c r="E36" s="10">
        <v>67</v>
      </c>
      <c r="F36" s="10">
        <v>47</v>
      </c>
      <c r="G36" s="10">
        <v>41</v>
      </c>
      <c r="H36" s="10">
        <v>35</v>
      </c>
      <c r="I36" s="39"/>
    </row>
    <row r="37" spans="2:9" x14ac:dyDescent="0.2">
      <c r="B37" s="4" t="s">
        <v>48</v>
      </c>
      <c r="C37" s="10" t="s">
        <v>52</v>
      </c>
      <c r="D37" s="10" t="s">
        <v>52</v>
      </c>
      <c r="E37" s="10">
        <v>17</v>
      </c>
      <c r="F37" s="10">
        <v>23</v>
      </c>
      <c r="G37" s="10">
        <v>19</v>
      </c>
      <c r="H37" s="10">
        <v>21</v>
      </c>
      <c r="I37" s="39"/>
    </row>
    <row r="38" spans="2:9" x14ac:dyDescent="0.2">
      <c r="B38" s="4" t="s">
        <v>49</v>
      </c>
      <c r="C38" s="10" t="s">
        <v>52</v>
      </c>
      <c r="D38" s="10" t="s">
        <v>52</v>
      </c>
      <c r="E38" s="10" t="s">
        <v>50</v>
      </c>
      <c r="F38" s="10" t="s">
        <v>50</v>
      </c>
      <c r="G38" s="10">
        <v>2</v>
      </c>
      <c r="H38" s="10">
        <v>9</v>
      </c>
      <c r="I38" s="39"/>
    </row>
    <row r="39" spans="2:9" x14ac:dyDescent="0.2">
      <c r="B39" s="45" t="s">
        <v>51</v>
      </c>
      <c r="C39" s="45"/>
      <c r="D39" s="45"/>
      <c r="E39" s="45"/>
      <c r="F39" s="45"/>
      <c r="G39" s="45"/>
      <c r="H39" s="45"/>
      <c r="I39" s="39"/>
    </row>
    <row r="40" spans="2:9" x14ac:dyDescent="0.2">
      <c r="B40" s="4" t="s">
        <v>46</v>
      </c>
      <c r="C40" s="10" t="s">
        <v>52</v>
      </c>
      <c r="D40" s="10" t="s">
        <v>52</v>
      </c>
      <c r="E40" s="10">
        <v>20</v>
      </c>
      <c r="F40" s="10">
        <v>37</v>
      </c>
      <c r="G40" s="10">
        <v>1</v>
      </c>
      <c r="H40" s="10">
        <v>0</v>
      </c>
      <c r="I40" s="39"/>
    </row>
    <row r="41" spans="2:9" x14ac:dyDescent="0.2">
      <c r="B41" s="4" t="s">
        <v>47</v>
      </c>
      <c r="C41" s="10" t="s">
        <v>52</v>
      </c>
      <c r="D41" s="10" t="s">
        <v>52</v>
      </c>
      <c r="E41" s="10">
        <v>60</v>
      </c>
      <c r="F41" s="10">
        <v>23</v>
      </c>
      <c r="G41" s="10">
        <v>61</v>
      </c>
      <c r="H41" s="10">
        <v>73</v>
      </c>
      <c r="I41" s="39"/>
    </row>
    <row r="42" spans="2:9" x14ac:dyDescent="0.2">
      <c r="B42" s="4" t="s">
        <v>48</v>
      </c>
      <c r="C42" s="10" t="s">
        <v>52</v>
      </c>
      <c r="D42" s="10" t="s">
        <v>52</v>
      </c>
      <c r="E42" s="10">
        <v>20</v>
      </c>
      <c r="F42" s="10">
        <v>40</v>
      </c>
      <c r="G42" s="10">
        <v>38</v>
      </c>
      <c r="H42" s="10">
        <v>19</v>
      </c>
      <c r="I42" s="39"/>
    </row>
    <row r="43" spans="2:9" x14ac:dyDescent="0.2">
      <c r="B43" s="4" t="s">
        <v>49</v>
      </c>
      <c r="C43" s="10" t="s">
        <v>52</v>
      </c>
      <c r="D43" s="10" t="s">
        <v>52</v>
      </c>
      <c r="E43" s="10" t="s">
        <v>50</v>
      </c>
      <c r="F43" s="10" t="s">
        <v>50</v>
      </c>
      <c r="G43" s="10" t="s">
        <v>50</v>
      </c>
      <c r="H43" s="10">
        <v>8</v>
      </c>
      <c r="I43" s="39"/>
    </row>
    <row r="44" spans="2:9" x14ac:dyDescent="0.2">
      <c r="B44" s="45" t="s">
        <v>44</v>
      </c>
      <c r="C44" s="45"/>
      <c r="D44" s="45"/>
      <c r="E44" s="45"/>
      <c r="F44" s="45"/>
      <c r="G44" s="45"/>
      <c r="H44" s="45"/>
      <c r="I44" s="39"/>
    </row>
    <row r="45" spans="2:9" x14ac:dyDescent="0.2">
      <c r="B45" s="4" t="s">
        <v>46</v>
      </c>
      <c r="C45" s="10" t="s">
        <v>52</v>
      </c>
      <c r="D45" s="10" t="s">
        <v>52</v>
      </c>
      <c r="E45" s="10">
        <v>92</v>
      </c>
      <c r="F45" s="10">
        <v>100</v>
      </c>
      <c r="G45" s="10" t="s">
        <v>6</v>
      </c>
      <c r="H45" s="10" t="s">
        <v>6</v>
      </c>
      <c r="I45" s="39"/>
    </row>
    <row r="46" spans="2:9" x14ac:dyDescent="0.2">
      <c r="B46" s="4" t="s">
        <v>47</v>
      </c>
      <c r="C46" s="10" t="s">
        <v>52</v>
      </c>
      <c r="D46" s="10" t="s">
        <v>52</v>
      </c>
      <c r="E46" s="10">
        <v>8</v>
      </c>
      <c r="F46" s="10" t="s">
        <v>6</v>
      </c>
      <c r="G46" s="10" t="s">
        <v>6</v>
      </c>
      <c r="H46" s="10"/>
      <c r="I46" s="40"/>
    </row>
    <row r="47" spans="2:9" x14ac:dyDescent="0.2">
      <c r="B47" s="46" t="str">
        <f>HYPERLINK("#BPCA_Results!A1","BPCA yield (%)")</f>
        <v>BPCA yield (%)</v>
      </c>
      <c r="C47" s="47"/>
      <c r="D47" s="47"/>
      <c r="E47" s="47"/>
      <c r="F47" s="47"/>
      <c r="G47" s="47"/>
      <c r="H47" s="47"/>
      <c r="I47" s="18"/>
    </row>
    <row r="48" spans="2:9" x14ac:dyDescent="0.2">
      <c r="B48" s="4" t="s">
        <v>165</v>
      </c>
      <c r="C48" s="6"/>
      <c r="D48" s="6"/>
      <c r="E48" s="13">
        <v>4.3200000000000002E-2</v>
      </c>
      <c r="F48" s="13">
        <v>3.6400000000000002E-2</v>
      </c>
      <c r="G48" s="13">
        <v>2.01E-2</v>
      </c>
      <c r="H48" s="13">
        <v>1.78E-2</v>
      </c>
      <c r="I48" s="41" t="s">
        <v>65</v>
      </c>
    </row>
    <row r="49" spans="2:9" x14ac:dyDescent="0.2">
      <c r="B49" s="4" t="s">
        <v>166</v>
      </c>
      <c r="C49" s="13"/>
      <c r="E49" s="13">
        <v>4.2299999999999997E-2</v>
      </c>
      <c r="F49" s="13">
        <v>4.4600000000000001E-2</v>
      </c>
      <c r="G49" s="13">
        <v>3.6999999999999998E-2</v>
      </c>
      <c r="H49" s="13">
        <v>2.47E-2</v>
      </c>
      <c r="I49" s="41"/>
    </row>
    <row r="50" spans="2:9" x14ac:dyDescent="0.2">
      <c r="B50" s="4" t="s">
        <v>167</v>
      </c>
      <c r="C50" s="13"/>
      <c r="E50" s="13">
        <v>0.107</v>
      </c>
      <c r="F50" s="13">
        <v>6.59E-2</v>
      </c>
      <c r="G50" s="13">
        <v>3.0200000000000001E-2</v>
      </c>
      <c r="H50" s="13">
        <v>2.2000000000000001E-3</v>
      </c>
      <c r="I50" s="41"/>
    </row>
    <row r="51" spans="2:9" x14ac:dyDescent="0.2">
      <c r="B51" s="4" t="s">
        <v>168</v>
      </c>
      <c r="C51" s="13"/>
      <c r="E51" s="13">
        <v>6.7699999999999996E-2</v>
      </c>
      <c r="F51" s="13">
        <v>5.7599999999999998E-2</v>
      </c>
      <c r="G51" s="13">
        <v>3.4500000000000003E-2</v>
      </c>
      <c r="H51" s="13">
        <v>7.4000000000000003E-3</v>
      </c>
      <c r="I51" s="41"/>
    </row>
    <row r="52" spans="2:9" x14ac:dyDescent="0.2">
      <c r="B52" s="4" t="s">
        <v>169</v>
      </c>
      <c r="C52" s="13"/>
      <c r="E52" s="13">
        <v>0.15329999999999999</v>
      </c>
      <c r="F52" s="13">
        <v>0.1421</v>
      </c>
      <c r="G52" s="13">
        <v>0.13</v>
      </c>
      <c r="H52" s="13">
        <v>9.98E-2</v>
      </c>
      <c r="I52" s="41"/>
    </row>
    <row r="53" spans="2:9" x14ac:dyDescent="0.2">
      <c r="B53" s="4" t="s">
        <v>170</v>
      </c>
      <c r="C53" s="13"/>
      <c r="E53" s="13">
        <v>0.36030000000000001</v>
      </c>
      <c r="F53" s="13">
        <v>0.35260000000000002</v>
      </c>
      <c r="G53" s="13">
        <v>0.32490000000000002</v>
      </c>
      <c r="H53" s="13">
        <v>0.30990000000000001</v>
      </c>
      <c r="I53" s="41"/>
    </row>
    <row r="54" spans="2:9" x14ac:dyDescent="0.2">
      <c r="B54" s="4" t="s">
        <v>171</v>
      </c>
      <c r="C54" s="13"/>
      <c r="E54" s="13">
        <v>0.22620000000000001</v>
      </c>
      <c r="F54" s="13">
        <v>0.30080000000000001</v>
      </c>
      <c r="G54" s="13">
        <v>0.42330000000000001</v>
      </c>
      <c r="H54" s="13">
        <v>0.53820000000000001</v>
      </c>
      <c r="I54" s="42"/>
    </row>
    <row r="55" spans="2:9" x14ac:dyDescent="0.2">
      <c r="B55" s="46" t="str">
        <f>HYPERLINK("#FTIR!A1","Funtional Groups from FTIR Qualitative data")</f>
        <v>Funtional Groups from FTIR Qualitative data</v>
      </c>
      <c r="C55" s="47"/>
      <c r="D55" s="47"/>
      <c r="E55" s="47"/>
      <c r="F55" s="47"/>
      <c r="G55" s="47"/>
      <c r="H55" s="47"/>
      <c r="I55" s="18"/>
    </row>
    <row r="56" spans="2:9" x14ac:dyDescent="0.2">
      <c r="B56" s="48" t="s">
        <v>14</v>
      </c>
      <c r="C56" s="4" t="s">
        <v>15</v>
      </c>
      <c r="D56" s="45" t="s">
        <v>16</v>
      </c>
      <c r="E56" s="45"/>
      <c r="F56" s="45"/>
      <c r="G56" s="45"/>
      <c r="H56" s="45"/>
      <c r="I56" s="38" t="s">
        <v>119</v>
      </c>
    </row>
    <row r="57" spans="2:9" x14ac:dyDescent="0.2">
      <c r="B57" s="48"/>
      <c r="C57" s="4" t="s">
        <v>17</v>
      </c>
      <c r="D57" s="45"/>
      <c r="E57" s="45"/>
      <c r="F57" s="45"/>
      <c r="G57" s="45"/>
      <c r="H57" s="45"/>
      <c r="I57" s="39"/>
    </row>
    <row r="58" spans="2:9" x14ac:dyDescent="0.2">
      <c r="B58" s="48" t="s">
        <v>18</v>
      </c>
      <c r="C58" s="4" t="s">
        <v>17</v>
      </c>
      <c r="D58" s="45" t="s">
        <v>19</v>
      </c>
      <c r="E58" s="45"/>
      <c r="F58" s="45"/>
      <c r="G58" s="45"/>
      <c r="H58" s="45"/>
      <c r="I58" s="39"/>
    </row>
    <row r="59" spans="2:9" x14ac:dyDescent="0.2">
      <c r="B59" s="48"/>
      <c r="C59" s="4" t="s">
        <v>20</v>
      </c>
      <c r="D59" s="45"/>
      <c r="E59" s="45"/>
      <c r="F59" s="45"/>
      <c r="G59" s="45"/>
      <c r="H59" s="45"/>
      <c r="I59" s="39"/>
    </row>
    <row r="60" spans="2:9" x14ac:dyDescent="0.2">
      <c r="B60" s="14" t="s">
        <v>21</v>
      </c>
      <c r="C60" s="4" t="s">
        <v>22</v>
      </c>
      <c r="D60" s="4" t="s">
        <v>23</v>
      </c>
      <c r="E60" s="44" t="s">
        <v>24</v>
      </c>
      <c r="F60" s="44"/>
      <c r="G60" s="44"/>
      <c r="H60" s="44"/>
      <c r="I60" s="39"/>
    </row>
    <row r="61" spans="2:9" x14ac:dyDescent="0.2">
      <c r="B61" s="14" t="s">
        <v>25</v>
      </c>
      <c r="C61" s="45" t="s">
        <v>22</v>
      </c>
      <c r="D61" s="45"/>
      <c r="E61" s="45"/>
      <c r="F61" s="45"/>
      <c r="G61" s="45"/>
      <c r="H61" s="45"/>
      <c r="I61" s="39"/>
    </row>
    <row r="62" spans="2:9" x14ac:dyDescent="0.2">
      <c r="B62" s="14" t="s">
        <v>21</v>
      </c>
      <c r="C62" s="45" t="s">
        <v>26</v>
      </c>
      <c r="D62" s="45"/>
      <c r="E62" s="45"/>
      <c r="F62" s="45"/>
      <c r="G62" s="45"/>
      <c r="H62" s="45"/>
      <c r="I62" s="40"/>
    </row>
    <row r="63" spans="2:9" x14ac:dyDescent="0.2">
      <c r="B63" s="46" t="str">
        <f>HYPERLINK("#XPS!A1","XPS C1s and O1s Qualitative data")</f>
        <v>XPS C1s and O1s Qualitative data</v>
      </c>
      <c r="C63" s="47"/>
      <c r="D63" s="47"/>
      <c r="E63" s="47"/>
      <c r="F63" s="47"/>
      <c r="G63" s="47"/>
      <c r="H63" s="47"/>
      <c r="I63" s="18"/>
    </row>
    <row r="64" spans="2:9" x14ac:dyDescent="0.2">
      <c r="B64" s="4" t="s">
        <v>27</v>
      </c>
      <c r="C64" s="4">
        <v>2</v>
      </c>
      <c r="D64" s="4">
        <v>3.5</v>
      </c>
      <c r="E64" s="4">
        <v>16.600000000000001</v>
      </c>
      <c r="F64" s="4">
        <v>41.5</v>
      </c>
      <c r="G64" s="4">
        <v>51.1</v>
      </c>
      <c r="H64" s="4">
        <v>51.6</v>
      </c>
      <c r="I64" s="38" t="s">
        <v>120</v>
      </c>
    </row>
    <row r="65" spans="2:9" x14ac:dyDescent="0.2">
      <c r="B65" s="4" t="s">
        <v>28</v>
      </c>
      <c r="C65" s="4">
        <v>94.3</v>
      </c>
      <c r="D65" s="4">
        <v>92.1</v>
      </c>
      <c r="E65" s="4">
        <v>55.9</v>
      </c>
      <c r="F65" s="4">
        <v>24.9</v>
      </c>
      <c r="G65" s="4">
        <v>8.1</v>
      </c>
      <c r="H65" s="4">
        <v>5.5</v>
      </c>
      <c r="I65" s="39"/>
    </row>
    <row r="66" spans="2:9" x14ac:dyDescent="0.2">
      <c r="B66" s="4" t="s">
        <v>29</v>
      </c>
      <c r="C66" s="4">
        <v>1.5</v>
      </c>
      <c r="D66" s="4">
        <v>2.1</v>
      </c>
      <c r="E66" s="4">
        <v>17.899999999999999</v>
      </c>
      <c r="F66" s="4">
        <v>29.3</v>
      </c>
      <c r="G66" s="4">
        <v>38.200000000000003</v>
      </c>
      <c r="H66" s="4">
        <v>34.299999999999997</v>
      </c>
      <c r="I66" s="39"/>
    </row>
    <row r="67" spans="2:9" x14ac:dyDescent="0.2">
      <c r="B67" s="4" t="s">
        <v>30</v>
      </c>
      <c r="C67" s="4">
        <v>2.2999999999999998</v>
      </c>
      <c r="D67" s="4">
        <v>2.2999999999999998</v>
      </c>
      <c r="E67" s="4">
        <v>9.4</v>
      </c>
      <c r="F67" s="4">
        <v>4.4000000000000004</v>
      </c>
      <c r="G67" s="4">
        <v>1.6</v>
      </c>
      <c r="H67" s="4">
        <v>7.5</v>
      </c>
      <c r="I67" s="39"/>
    </row>
    <row r="68" spans="2:9" x14ac:dyDescent="0.2">
      <c r="B68" s="45" t="s">
        <v>31</v>
      </c>
      <c r="C68" s="45"/>
      <c r="D68" s="45"/>
      <c r="E68" s="45"/>
      <c r="F68" s="45"/>
      <c r="G68" s="45"/>
      <c r="H68" s="45"/>
      <c r="I68" s="39"/>
    </row>
    <row r="69" spans="2:9" x14ac:dyDescent="0.2">
      <c r="B69" s="4" t="s">
        <v>32</v>
      </c>
      <c r="C69" s="4">
        <v>4.9000000000000004</v>
      </c>
      <c r="D69" s="4">
        <v>3.5</v>
      </c>
      <c r="E69" s="4">
        <v>11</v>
      </c>
      <c r="F69" s="4">
        <v>5.7</v>
      </c>
      <c r="G69" s="4">
        <v>5</v>
      </c>
      <c r="H69" s="4">
        <v>3.5</v>
      </c>
      <c r="I69" s="39"/>
    </row>
    <row r="70" spans="2:9" x14ac:dyDescent="0.2">
      <c r="B70" s="4" t="s">
        <v>33</v>
      </c>
      <c r="C70" s="4">
        <v>6</v>
      </c>
      <c r="D70" s="4">
        <v>14</v>
      </c>
      <c r="E70" s="4">
        <v>35.799999999999997</v>
      </c>
      <c r="F70" s="4">
        <v>52</v>
      </c>
      <c r="G70" s="4">
        <v>67.400000000000006</v>
      </c>
      <c r="H70" s="4">
        <v>75.400000000000006</v>
      </c>
      <c r="I70" s="39"/>
    </row>
    <row r="71" spans="2:9" x14ac:dyDescent="0.2">
      <c r="B71" s="4" t="s">
        <v>34</v>
      </c>
      <c r="C71" s="4">
        <v>0.8</v>
      </c>
      <c r="D71" s="4">
        <v>4.9000000000000004</v>
      </c>
      <c r="E71" s="4">
        <v>26.9</v>
      </c>
      <c r="F71" s="4">
        <v>16</v>
      </c>
      <c r="G71" s="4">
        <v>14.3</v>
      </c>
      <c r="H71" s="4">
        <v>9.1999999999999993</v>
      </c>
      <c r="I71" s="39"/>
    </row>
    <row r="72" spans="2:9" x14ac:dyDescent="0.2">
      <c r="B72" s="4" t="s">
        <v>21</v>
      </c>
      <c r="C72" s="4">
        <v>66.400000000000006</v>
      </c>
      <c r="D72" s="4">
        <v>59.8</v>
      </c>
      <c r="E72" s="4">
        <v>18.100000000000001</v>
      </c>
      <c r="F72" s="4">
        <v>15.8</v>
      </c>
      <c r="G72" s="4">
        <v>5.3</v>
      </c>
      <c r="H72" s="4">
        <v>4.3</v>
      </c>
      <c r="I72" s="39"/>
    </row>
    <row r="73" spans="2:9" x14ac:dyDescent="0.2">
      <c r="B73" s="4" t="s">
        <v>35</v>
      </c>
      <c r="C73" s="4">
        <v>20.399999999999999</v>
      </c>
      <c r="D73" s="4">
        <v>15.4</v>
      </c>
      <c r="E73" s="4">
        <v>0.3</v>
      </c>
      <c r="F73" s="4">
        <v>2.2999999999999998</v>
      </c>
      <c r="G73" s="4">
        <v>0.3</v>
      </c>
      <c r="H73" s="4">
        <v>0.1</v>
      </c>
      <c r="I73" s="39"/>
    </row>
    <row r="74" spans="2:9" x14ac:dyDescent="0.2">
      <c r="B74" s="4" t="s">
        <v>36</v>
      </c>
      <c r="C74" s="4">
        <v>20.399999999999999</v>
      </c>
      <c r="D74" s="4">
        <v>15.4</v>
      </c>
      <c r="E74" s="4">
        <v>0.3</v>
      </c>
      <c r="F74" s="4">
        <v>0.6</v>
      </c>
      <c r="G74" s="4">
        <v>0.2</v>
      </c>
      <c r="H74" s="4">
        <v>0.1</v>
      </c>
      <c r="I74" s="39"/>
    </row>
    <row r="75" spans="2:9" x14ac:dyDescent="0.2">
      <c r="B75" s="4" t="s">
        <v>37</v>
      </c>
      <c r="C75" s="4">
        <v>0.6</v>
      </c>
      <c r="D75" s="4">
        <v>2.4</v>
      </c>
      <c r="E75" s="4">
        <v>4.5999999999999996</v>
      </c>
      <c r="F75" s="4">
        <v>4.4000000000000004</v>
      </c>
      <c r="G75" s="4">
        <v>3.4</v>
      </c>
      <c r="H75" s="4">
        <v>3.4</v>
      </c>
      <c r="I75" s="39"/>
    </row>
    <row r="76" spans="2:9" x14ac:dyDescent="0.2">
      <c r="B76" s="4" t="s">
        <v>74</v>
      </c>
      <c r="C76" s="4">
        <v>0.56999999999999995</v>
      </c>
      <c r="D76" s="4">
        <v>0.7</v>
      </c>
      <c r="E76" s="4">
        <v>0.64</v>
      </c>
      <c r="F76" s="4">
        <v>0.84</v>
      </c>
      <c r="G76" s="4">
        <v>0.91</v>
      </c>
      <c r="H76" s="4">
        <v>0.52</v>
      </c>
      <c r="I76" s="39"/>
    </row>
    <row r="77" spans="2:9" x14ac:dyDescent="0.2">
      <c r="B77" s="4" t="s">
        <v>75</v>
      </c>
      <c r="C77" s="4">
        <v>0.55000000000000004</v>
      </c>
      <c r="D77" s="4">
        <v>0.64</v>
      </c>
      <c r="E77" s="4">
        <v>0.64</v>
      </c>
      <c r="F77" s="4">
        <v>0.57999999999999996</v>
      </c>
      <c r="G77" s="4">
        <v>0.66</v>
      </c>
      <c r="H77" s="4">
        <v>0.42</v>
      </c>
      <c r="I77" s="39"/>
    </row>
    <row r="78" spans="2:9" x14ac:dyDescent="0.2">
      <c r="B78" s="15" t="s">
        <v>38</v>
      </c>
      <c r="C78" s="15">
        <v>1.26</v>
      </c>
      <c r="D78" s="15">
        <v>1.54</v>
      </c>
      <c r="E78" s="15">
        <v>4.63</v>
      </c>
      <c r="F78" s="15">
        <v>5.1100000000000003</v>
      </c>
      <c r="G78" s="15">
        <v>11.4</v>
      </c>
      <c r="H78" s="15">
        <v>10.86</v>
      </c>
      <c r="I78" s="40"/>
    </row>
  </sheetData>
  <mergeCells count="27">
    <mergeCell ref="B58:B59"/>
    <mergeCell ref="D58:H59"/>
    <mergeCell ref="B3:H3"/>
    <mergeCell ref="B12:H12"/>
    <mergeCell ref="B26:H26"/>
    <mergeCell ref="B21:H21"/>
    <mergeCell ref="B47:H47"/>
    <mergeCell ref="B55:H55"/>
    <mergeCell ref="B56:B57"/>
    <mergeCell ref="D56:H57"/>
    <mergeCell ref="B33:H33"/>
    <mergeCell ref="B34:H34"/>
    <mergeCell ref="B44:H44"/>
    <mergeCell ref="B39:H39"/>
    <mergeCell ref="E60:H60"/>
    <mergeCell ref="C61:H61"/>
    <mergeCell ref="C62:H62"/>
    <mergeCell ref="B63:H63"/>
    <mergeCell ref="B68:H68"/>
    <mergeCell ref="I64:I78"/>
    <mergeCell ref="I56:I62"/>
    <mergeCell ref="I48:I54"/>
    <mergeCell ref="I27:I46"/>
    <mergeCell ref="I4:I10"/>
    <mergeCell ref="I13:I14"/>
    <mergeCell ref="I17:I20"/>
    <mergeCell ref="I22:I25"/>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90" zoomScaleNormal="90" workbookViewId="0"/>
  </sheetViews>
  <sheetFormatPr baseColWidth="10" defaultColWidth="12.5" defaultRowHeight="16" x14ac:dyDescent="0.2"/>
  <cols>
    <col min="1" max="10" width="12.5" style="26"/>
    <col min="11" max="11" width="20.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161</v>
      </c>
      <c r="L5" s="27" t="s">
        <v>162</v>
      </c>
      <c r="M5" s="27" t="s">
        <v>54</v>
      </c>
      <c r="N5" s="27" t="s">
        <v>55</v>
      </c>
      <c r="O5" s="27" t="s">
        <v>56</v>
      </c>
      <c r="P5" s="27" t="s">
        <v>57</v>
      </c>
    </row>
    <row r="6" spans="11:16" x14ac:dyDescent="0.2">
      <c r="K6" s="26" t="s">
        <v>149</v>
      </c>
      <c r="L6" s="27" t="s">
        <v>150</v>
      </c>
      <c r="M6" s="28">
        <v>4.321199577936561E-2</v>
      </c>
      <c r="N6" s="28">
        <v>3.6387734810022998E-2</v>
      </c>
      <c r="O6" s="28">
        <v>2.0070599778316559E-2</v>
      </c>
      <c r="P6" s="28">
        <v>1.7798234948509826E-2</v>
      </c>
    </row>
    <row r="7" spans="11:16" x14ac:dyDescent="0.2">
      <c r="K7" s="26" t="s">
        <v>151</v>
      </c>
      <c r="L7" s="27" t="s">
        <v>152</v>
      </c>
      <c r="M7" s="28">
        <v>4.2329257225562467E-2</v>
      </c>
      <c r="N7" s="28">
        <v>4.4636780737949994E-2</v>
      </c>
      <c r="O7" s="28">
        <v>3.6991694274753913E-2</v>
      </c>
      <c r="P7" s="28">
        <v>2.4694548368630526E-2</v>
      </c>
    </row>
    <row r="8" spans="11:16" x14ac:dyDescent="0.2">
      <c r="K8" s="26" t="s">
        <v>153</v>
      </c>
      <c r="L8" s="27" t="s">
        <v>152</v>
      </c>
      <c r="M8" s="28">
        <v>0.10699718974372603</v>
      </c>
      <c r="N8" s="28">
        <v>6.5871184329614613E-2</v>
      </c>
      <c r="O8" s="28">
        <v>3.0163575084952359E-2</v>
      </c>
      <c r="P8" s="28">
        <v>2.1794092876482856E-3</v>
      </c>
    </row>
    <row r="9" spans="11:16" x14ac:dyDescent="0.2">
      <c r="K9" s="26" t="s">
        <v>154</v>
      </c>
      <c r="L9" s="27" t="s">
        <v>155</v>
      </c>
      <c r="M9" s="28">
        <v>6.7677328466173317E-2</v>
      </c>
      <c r="N9" s="28">
        <v>5.7585518231114477E-2</v>
      </c>
      <c r="O9" s="28">
        <v>3.4547196647557121E-2</v>
      </c>
      <c r="P9" s="28">
        <v>7.4240498269105603E-3</v>
      </c>
    </row>
    <row r="10" spans="11:16" x14ac:dyDescent="0.2">
      <c r="K10" s="26" t="s">
        <v>156</v>
      </c>
      <c r="L10" s="27" t="s">
        <v>157</v>
      </c>
      <c r="M10" s="28">
        <v>0.15332365253896416</v>
      </c>
      <c r="N10" s="28">
        <v>0.14211236193881485</v>
      </c>
      <c r="O10" s="28">
        <v>0.1300441334632115</v>
      </c>
      <c r="P10" s="28">
        <v>9.9811377982015628E-2</v>
      </c>
    </row>
    <row r="11" spans="11:16" ht="16" customHeight="1" x14ac:dyDescent="0.2">
      <c r="K11" s="26" t="s">
        <v>158</v>
      </c>
      <c r="L11" s="27" t="s">
        <v>72</v>
      </c>
      <c r="M11" s="28">
        <v>0.36028783063541181</v>
      </c>
      <c r="N11" s="28">
        <v>0.35258252683498492</v>
      </c>
      <c r="O11" s="28">
        <v>0.3249240329328747</v>
      </c>
      <c r="P11" s="28">
        <v>0.30986523757109552</v>
      </c>
    </row>
    <row r="12" spans="11:16" ht="16" customHeight="1" x14ac:dyDescent="0.2">
      <c r="K12" s="26" t="s">
        <v>159</v>
      </c>
      <c r="L12" s="27" t="s">
        <v>73</v>
      </c>
      <c r="M12" s="28">
        <v>0.22617274561079651</v>
      </c>
      <c r="N12" s="28">
        <v>0.30082389311749813</v>
      </c>
      <c r="O12" s="28">
        <v>0.42325876781833377</v>
      </c>
      <c r="P12" s="28">
        <v>0.53822714201518951</v>
      </c>
    </row>
    <row r="15" spans="11:16" x14ac:dyDescent="0.2">
      <c r="L15" s="27" t="s">
        <v>160</v>
      </c>
      <c r="M15" s="27" t="s">
        <v>54</v>
      </c>
      <c r="N15" s="27" t="s">
        <v>55</v>
      </c>
      <c r="O15" s="27" t="s">
        <v>56</v>
      </c>
      <c r="P15" s="27" t="s">
        <v>57</v>
      </c>
    </row>
    <row r="16" spans="11:16" x14ac:dyDescent="0.2">
      <c r="L16" s="27" t="s">
        <v>150</v>
      </c>
      <c r="M16" s="28">
        <v>1.452008162960407E-3</v>
      </c>
      <c r="N16" s="28">
        <v>7.3890280749442793E-4</v>
      </c>
      <c r="O16" s="28">
        <v>8.1329800487500909E-4</v>
      </c>
      <c r="P16" s="28">
        <v>3.3752394696415617E-3</v>
      </c>
    </row>
    <row r="17" spans="12:16" x14ac:dyDescent="0.2">
      <c r="L17" s="27" t="s">
        <v>152</v>
      </c>
      <c r="M17" s="28">
        <v>3.6399933731031862E-3</v>
      </c>
      <c r="N17" s="28">
        <v>1.32359954754977E-3</v>
      </c>
      <c r="O17" s="28">
        <v>3.8215538618423866E-3</v>
      </c>
      <c r="P17" s="28">
        <v>2.2123069970848654E-3</v>
      </c>
    </row>
    <row r="18" spans="12:16" x14ac:dyDescent="0.2">
      <c r="L18" s="27" t="s">
        <v>152</v>
      </c>
      <c r="M18" s="28">
        <v>3.4369818044473206E-2</v>
      </c>
      <c r="N18" s="28">
        <v>4.725884096319171E-3</v>
      </c>
      <c r="O18" s="28">
        <v>2.8366255764284815E-3</v>
      </c>
      <c r="P18" s="28">
        <v>3.2976936043493065E-4</v>
      </c>
    </row>
    <row r="19" spans="12:16" x14ac:dyDescent="0.2">
      <c r="L19" s="27" t="s">
        <v>155</v>
      </c>
      <c r="M19" s="28">
        <v>6.4134346735433378E-4</v>
      </c>
      <c r="N19" s="28">
        <v>4.44949241933013E-4</v>
      </c>
      <c r="O19" s="28">
        <v>1.4903963010309616E-3</v>
      </c>
      <c r="P19" s="28">
        <v>1.9634220262432674E-3</v>
      </c>
    </row>
    <row r="20" spans="12:16" x14ac:dyDescent="0.2">
      <c r="L20" s="27" t="s">
        <v>157</v>
      </c>
      <c r="M20" s="28">
        <v>4.2218260434022901E-2</v>
      </c>
      <c r="N20" s="28">
        <v>4.3619769626533174E-3</v>
      </c>
      <c r="O20" s="28">
        <v>4.8679067158982174E-3</v>
      </c>
      <c r="P20" s="28">
        <v>1.5722680239762876E-2</v>
      </c>
    </row>
    <row r="21" spans="12:16" x14ac:dyDescent="0.2">
      <c r="L21" s="27" t="s">
        <v>72</v>
      </c>
      <c r="M21" s="28">
        <v>2.7555996511292324E-2</v>
      </c>
      <c r="N21" s="28">
        <v>5.1746708639145347E-3</v>
      </c>
      <c r="O21" s="28">
        <v>7.3795602804227027E-3</v>
      </c>
      <c r="P21" s="28">
        <v>5.4432833074832605E-2</v>
      </c>
    </row>
    <row r="22" spans="12:16" x14ac:dyDescent="0.2">
      <c r="L22" s="27" t="s">
        <v>73</v>
      </c>
      <c r="M22" s="28">
        <v>4.460973667386943E-2</v>
      </c>
      <c r="N22" s="28">
        <v>5.5307433081690401E-3</v>
      </c>
      <c r="O22" s="28">
        <v>5.8422164928758347E-3</v>
      </c>
      <c r="P22" s="28">
        <v>7.7360877544426734E-2</v>
      </c>
    </row>
    <row r="24" spans="12:16" x14ac:dyDescent="0.2">
      <c r="M24" s="29"/>
      <c r="N24" s="29"/>
      <c r="O24" s="29"/>
      <c r="P24" s="29"/>
    </row>
    <row r="25" spans="12:16" x14ac:dyDescent="0.2">
      <c r="L25" s="50" t="s">
        <v>68</v>
      </c>
      <c r="M25" s="50"/>
      <c r="N25" s="6"/>
      <c r="O25" s="32"/>
      <c r="P25" s="32"/>
    </row>
    <row r="26" spans="12:16" x14ac:dyDescent="0.2">
      <c r="L26" s="27" t="s">
        <v>69</v>
      </c>
      <c r="M26" s="28">
        <f>1-M28-M29-M30-M27</f>
        <v>4.7709923664134013E-4</v>
      </c>
      <c r="N26" s="4"/>
      <c r="O26" s="32"/>
      <c r="P26" s="32"/>
    </row>
    <row r="27" spans="12:16" x14ac:dyDescent="0.2">
      <c r="L27" s="27" t="s">
        <v>70</v>
      </c>
      <c r="M27" s="28">
        <f>1.51/20.96</f>
        <v>7.2041984732824429E-2</v>
      </c>
      <c r="N27" s="4"/>
      <c r="O27" s="32"/>
      <c r="P27" s="32"/>
    </row>
    <row r="28" spans="12:16" x14ac:dyDescent="0.2">
      <c r="L28" s="27" t="s">
        <v>71</v>
      </c>
      <c r="M28" s="28">
        <f>7.43/20.96</f>
        <v>0.35448473282442744</v>
      </c>
      <c r="N28" s="4"/>
      <c r="O28" s="32"/>
      <c r="P28" s="32"/>
    </row>
    <row r="29" spans="12:16" x14ac:dyDescent="0.2">
      <c r="L29" s="27" t="s">
        <v>72</v>
      </c>
      <c r="M29" s="28">
        <f>9.06/20.96</f>
        <v>0.43225190839694655</v>
      </c>
      <c r="N29" s="4"/>
      <c r="O29" s="32"/>
      <c r="P29" s="32"/>
    </row>
    <row r="30" spans="12:16" x14ac:dyDescent="0.2">
      <c r="L30" s="27" t="s">
        <v>73</v>
      </c>
      <c r="M30" s="28">
        <f>2.95/20.96</f>
        <v>0.1407442748091603</v>
      </c>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49" t="s">
        <v>163</v>
      </c>
      <c r="B35" s="49"/>
      <c r="C35" s="49"/>
      <c r="D35" s="49"/>
      <c r="E35" s="49"/>
      <c r="F35" s="49"/>
      <c r="G35" s="49"/>
      <c r="H35" s="49"/>
      <c r="I35" s="49"/>
      <c r="J35" s="49"/>
      <c r="L35" s="29"/>
      <c r="M35" s="32"/>
      <c r="N35" s="32"/>
      <c r="O35" s="32"/>
      <c r="P35" s="32"/>
    </row>
    <row r="36" spans="1:16" x14ac:dyDescent="0.2">
      <c r="A36" s="49"/>
      <c r="B36" s="49"/>
      <c r="C36" s="49"/>
      <c r="D36" s="49"/>
      <c r="E36" s="49"/>
      <c r="F36" s="49"/>
      <c r="G36" s="49"/>
      <c r="H36" s="49"/>
      <c r="I36" s="49"/>
      <c r="J36" s="49"/>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workbookViewId="0">
      <selection activeCell="T20" sqref="T20"/>
    </sheetView>
  </sheetViews>
  <sheetFormatPr baseColWidth="10"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51" t="s">
        <v>148</v>
      </c>
      <c r="R4" s="51"/>
      <c r="S4" s="51"/>
      <c r="T4" s="51"/>
      <c r="U4" s="51"/>
    </row>
    <row r="5" spans="1:21" ht="18" x14ac:dyDescent="0.2">
      <c r="Q5" s="23" t="s">
        <v>147</v>
      </c>
      <c r="R5" s="23" t="s">
        <v>146</v>
      </c>
      <c r="S5" s="23" t="s">
        <v>145</v>
      </c>
      <c r="T5" s="23" t="s">
        <v>144</v>
      </c>
      <c r="U5" s="23" t="s">
        <v>143</v>
      </c>
    </row>
    <row r="6" spans="1:21" x14ac:dyDescent="0.2">
      <c r="Q6" s="4" t="s">
        <v>142</v>
      </c>
      <c r="R6" s="4" t="s">
        <v>141</v>
      </c>
      <c r="T6" s="4">
        <v>122.12</v>
      </c>
    </row>
    <row r="7" spans="1:21" x14ac:dyDescent="0.2">
      <c r="Q7" s="4" t="s">
        <v>69</v>
      </c>
      <c r="R7" s="4" t="s">
        <v>140</v>
      </c>
      <c r="S7" s="4" t="s">
        <v>139</v>
      </c>
      <c r="T7" s="4">
        <v>166.14</v>
      </c>
      <c r="U7" s="4">
        <v>23.553999999999998</v>
      </c>
    </row>
    <row r="8" spans="1:21" x14ac:dyDescent="0.2">
      <c r="Q8" s="4" t="s">
        <v>69</v>
      </c>
      <c r="R8" s="4" t="s">
        <v>138</v>
      </c>
      <c r="S8" s="4" t="s">
        <v>137</v>
      </c>
      <c r="T8" s="4">
        <v>166.14</v>
      </c>
    </row>
    <row r="9" spans="1:21" x14ac:dyDescent="0.2">
      <c r="Q9" s="15" t="s">
        <v>69</v>
      </c>
      <c r="R9" s="15" t="s">
        <v>136</v>
      </c>
      <c r="S9" s="15" t="s">
        <v>135</v>
      </c>
      <c r="T9" s="15">
        <v>166.14</v>
      </c>
      <c r="U9" s="15"/>
    </row>
    <row r="10" spans="1:21" x14ac:dyDescent="0.2">
      <c r="Q10" s="4" t="s">
        <v>70</v>
      </c>
      <c r="R10" s="4" t="s">
        <v>134</v>
      </c>
      <c r="S10" s="4" t="s">
        <v>133</v>
      </c>
      <c r="T10" s="4">
        <v>210.14</v>
      </c>
      <c r="U10" s="4">
        <v>21.122</v>
      </c>
    </row>
    <row r="11" spans="1:21" x14ac:dyDescent="0.2">
      <c r="Q11" s="4" t="s">
        <v>70</v>
      </c>
      <c r="R11" s="4" t="s">
        <v>132</v>
      </c>
      <c r="S11" s="4" t="s">
        <v>131</v>
      </c>
      <c r="T11" s="4">
        <v>210.14</v>
      </c>
      <c r="U11" s="4">
        <v>19.847999999999999</v>
      </c>
    </row>
    <row r="12" spans="1:21" x14ac:dyDescent="0.2">
      <c r="Q12" s="15" t="s">
        <v>70</v>
      </c>
      <c r="R12" s="15" t="s">
        <v>130</v>
      </c>
      <c r="S12" s="15" t="s">
        <v>129</v>
      </c>
      <c r="T12" s="15">
        <v>210.14</v>
      </c>
      <c r="U12" s="24"/>
    </row>
    <row r="13" spans="1:21" x14ac:dyDescent="0.2">
      <c r="Q13" s="4" t="s">
        <v>71</v>
      </c>
      <c r="R13" s="4" t="s">
        <v>128</v>
      </c>
      <c r="S13" s="4" t="s">
        <v>127</v>
      </c>
      <c r="T13" s="4">
        <v>254.15</v>
      </c>
      <c r="U13" s="25">
        <v>18.376000000000001</v>
      </c>
    </row>
    <row r="14" spans="1:21" x14ac:dyDescent="0.2">
      <c r="Q14" s="4" t="s">
        <v>71</v>
      </c>
      <c r="R14" s="4" t="s">
        <v>126</v>
      </c>
      <c r="S14" s="4" t="s">
        <v>125</v>
      </c>
      <c r="T14" s="4">
        <v>254.15</v>
      </c>
      <c r="U14" s="25">
        <v>17.099</v>
      </c>
    </row>
    <row r="15" spans="1:21" x14ac:dyDescent="0.2">
      <c r="Q15" s="15" t="s">
        <v>71</v>
      </c>
      <c r="R15" s="15" t="s">
        <v>124</v>
      </c>
      <c r="S15" s="15" t="s">
        <v>123</v>
      </c>
      <c r="T15" s="15">
        <v>254.15</v>
      </c>
      <c r="U15" s="15">
        <v>15.86</v>
      </c>
    </row>
    <row r="16" spans="1:21" x14ac:dyDescent="0.2">
      <c r="A16" s="45" t="s">
        <v>90</v>
      </c>
      <c r="B16" s="45"/>
      <c r="C16" s="45"/>
      <c r="D16" s="45"/>
      <c r="E16" s="45"/>
      <c r="F16" s="45"/>
      <c r="G16" s="45"/>
      <c r="H16" s="45" t="s">
        <v>93</v>
      </c>
      <c r="I16" s="45"/>
      <c r="J16" s="45"/>
      <c r="K16" s="45"/>
      <c r="L16" s="45"/>
      <c r="M16" s="45"/>
      <c r="Q16" s="4" t="s">
        <v>72</v>
      </c>
      <c r="R16" s="4" t="s">
        <v>122</v>
      </c>
      <c r="T16" s="4">
        <v>298.16000000000003</v>
      </c>
      <c r="U16" s="4">
        <v>13.733000000000001</v>
      </c>
    </row>
    <row r="17" spans="1:29" x14ac:dyDescent="0.2">
      <c r="Q17" s="15" t="s">
        <v>73</v>
      </c>
      <c r="R17" s="15" t="s">
        <v>121</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45" t="s">
        <v>91</v>
      </c>
      <c r="B32" s="45"/>
      <c r="C32" s="45"/>
      <c r="D32" s="45"/>
      <c r="E32" s="45"/>
      <c r="F32" s="45"/>
      <c r="G32" s="45"/>
      <c r="H32" s="45" t="s">
        <v>92</v>
      </c>
      <c r="I32" s="45"/>
      <c r="J32" s="45"/>
      <c r="K32" s="45"/>
      <c r="L32" s="45"/>
      <c r="M32" s="45"/>
      <c r="Q32" s="26"/>
      <c r="R32" s="30"/>
      <c r="S32" s="31"/>
      <c r="T32" s="31"/>
      <c r="U32" s="31"/>
      <c r="V32" s="31"/>
      <c r="W32" s="26"/>
      <c r="X32" s="26"/>
      <c r="Y32" s="26"/>
      <c r="Z32" s="26"/>
      <c r="AA32" s="26"/>
      <c r="AB32" s="26"/>
      <c r="AC32" s="26"/>
    </row>
    <row r="33" spans="1:29" x14ac:dyDescent="0.2">
      <c r="A33" s="49" t="s">
        <v>164</v>
      </c>
      <c r="B33" s="49"/>
      <c r="C33" s="49"/>
      <c r="D33" s="49"/>
      <c r="E33" s="49"/>
      <c r="F33" s="49"/>
      <c r="G33" s="49"/>
      <c r="H33" s="49"/>
      <c r="I33" s="49"/>
      <c r="J33" s="49"/>
      <c r="K33" s="49"/>
      <c r="L33" s="49"/>
      <c r="M33" s="49"/>
      <c r="Q33" s="26"/>
      <c r="R33" s="30"/>
      <c r="S33" s="31"/>
      <c r="T33" s="31"/>
      <c r="U33" s="31"/>
      <c r="V33" s="31"/>
      <c r="W33" s="26"/>
      <c r="X33" s="26"/>
      <c r="Y33" s="26"/>
      <c r="Z33" s="26"/>
      <c r="AA33" s="26"/>
      <c r="AB33" s="26"/>
      <c r="AC33" s="26"/>
    </row>
    <row r="34" spans="1:29" x14ac:dyDescent="0.2">
      <c r="A34" s="49"/>
      <c r="B34" s="49"/>
      <c r="C34" s="49"/>
      <c r="D34" s="49"/>
      <c r="E34" s="49"/>
      <c r="F34" s="49"/>
      <c r="G34" s="49"/>
      <c r="H34" s="49"/>
      <c r="I34" s="49"/>
      <c r="J34" s="49"/>
      <c r="K34" s="49"/>
      <c r="L34" s="49"/>
      <c r="M34" s="49"/>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workbookViewId="0">
      <selection activeCell="C6" sqref="C6"/>
    </sheetView>
  </sheetViews>
  <sheetFormatPr baseColWidth="10"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58</v>
      </c>
      <c r="B3" s="16" t="s">
        <v>77</v>
      </c>
      <c r="C3" s="16" t="s">
        <v>78</v>
      </c>
    </row>
    <row r="4" spans="1:3" ht="16" x14ac:dyDescent="0.2">
      <c r="A4" s="2" t="s">
        <v>114</v>
      </c>
      <c r="B4" s="2" t="s">
        <v>80</v>
      </c>
      <c r="C4" s="17" t="s">
        <v>79</v>
      </c>
    </row>
    <row r="5" spans="1:3" ht="16" x14ac:dyDescent="0.2">
      <c r="A5" s="2" t="s">
        <v>115</v>
      </c>
      <c r="B5" s="2" t="s">
        <v>81</v>
      </c>
      <c r="C5" s="17" t="s">
        <v>82</v>
      </c>
    </row>
    <row r="6" spans="1:3" ht="16" x14ac:dyDescent="0.2">
      <c r="A6" s="2" t="s">
        <v>116</v>
      </c>
      <c r="B6" s="2" t="s">
        <v>0</v>
      </c>
      <c r="C6" s="17" t="s">
        <v>86</v>
      </c>
    </row>
    <row r="7" spans="1:3" ht="16" x14ac:dyDescent="0.2">
      <c r="A7" s="2" t="s">
        <v>113</v>
      </c>
      <c r="B7" s="2" t="s">
        <v>112</v>
      </c>
      <c r="C7" s="17" t="s">
        <v>111</v>
      </c>
    </row>
    <row r="8" spans="1:3" ht="16" x14ac:dyDescent="0.2">
      <c r="A8" s="2" t="s">
        <v>117</v>
      </c>
      <c r="B8" s="2" t="s">
        <v>2</v>
      </c>
      <c r="C8" s="17" t="s">
        <v>118</v>
      </c>
    </row>
  </sheetData>
  <hyperlinks>
    <hyperlink ref="C4" r:id="rId1" tooltip="Persistent link using digital object identifier" xr:uid="{8798D652-48B2-2641-A78F-6B4C5C5E8F34}"/>
    <hyperlink ref="C5" r:id="rId2" xr:uid="{28584E31-E7A8-4546-96C3-1347191E79C9}"/>
    <hyperlink ref="C6" r:id="rId3" tooltip="Persistent link using digital object identifier" xr:uid="{AEC84A09-1B9B-0548-97F0-6C6DC4FEBE1C}"/>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90" zoomScaleNormal="90" workbookViewId="0">
      <selection activeCell="A35" sqref="A35:J35"/>
    </sheetView>
  </sheetViews>
  <sheetFormatPr baseColWidth="10" defaultRowHeight="14" x14ac:dyDescent="0.15"/>
  <cols>
    <col min="1" max="16384" width="10.83203125" style="3"/>
  </cols>
  <sheetData>
    <row r="35" spans="1:10" ht="35" customHeight="1" x14ac:dyDescent="0.2">
      <c r="A35" s="44" t="s">
        <v>83</v>
      </c>
      <c r="B35" s="44"/>
      <c r="C35" s="44"/>
      <c r="D35" s="44"/>
      <c r="E35" s="44"/>
      <c r="F35" s="44"/>
      <c r="G35" s="44"/>
      <c r="H35" s="44"/>
      <c r="I35" s="44"/>
      <c r="J35" s="44"/>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90" zoomScaleNormal="90" workbookViewId="0"/>
  </sheetViews>
  <sheetFormatPr baseColWidth="10" defaultRowHeight="14" x14ac:dyDescent="0.15"/>
  <cols>
    <col min="1" max="16384" width="10.83203125" style="3"/>
  </cols>
  <sheetData>
    <row r="35" spans="1:12" s="4" customFormat="1" ht="16" x14ac:dyDescent="0.2">
      <c r="A35" s="4" t="s">
        <v>88</v>
      </c>
      <c r="L35" s="4" t="s">
        <v>85</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90" zoomScaleNormal="90" workbookViewId="0"/>
  </sheetViews>
  <sheetFormatPr baseColWidth="10" defaultRowHeight="16" x14ac:dyDescent="0.2"/>
  <cols>
    <col min="1" max="10" width="10.83203125" style="4"/>
    <col min="11" max="11" width="18" style="4" customWidth="1"/>
    <col min="12" max="16384" width="10.83203125" style="4"/>
  </cols>
  <sheetData>
    <row r="34" spans="1:11" x14ac:dyDescent="0.2">
      <c r="A34" s="44" t="s">
        <v>84</v>
      </c>
      <c r="B34" s="44"/>
      <c r="C34" s="44"/>
      <c r="D34" s="44"/>
      <c r="E34" s="44"/>
      <c r="F34" s="44"/>
      <c r="G34" s="44"/>
      <c r="H34" s="44"/>
      <c r="I34" s="44"/>
      <c r="J34" s="44"/>
      <c r="K34" s="44"/>
    </row>
    <row r="35" spans="1:11" ht="33" customHeight="1" x14ac:dyDescent="0.2">
      <c r="A35" s="44"/>
      <c r="B35" s="44"/>
      <c r="C35" s="44"/>
      <c r="D35" s="44"/>
      <c r="E35" s="44"/>
      <c r="F35" s="44"/>
      <c r="G35" s="44"/>
      <c r="H35" s="44"/>
      <c r="I35" s="44"/>
      <c r="J35" s="44"/>
      <c r="K35" s="44"/>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90" zoomScaleNormal="90" workbookViewId="0">
      <selection activeCell="A35" sqref="A35:J36"/>
    </sheetView>
  </sheetViews>
  <sheetFormatPr baseColWidth="10"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39" t="s">
        <v>87</v>
      </c>
      <c r="B35" s="39"/>
      <c r="C35" s="39"/>
      <c r="D35" s="39"/>
      <c r="E35" s="39"/>
      <c r="F35" s="39"/>
      <c r="G35" s="39"/>
      <c r="H35" s="39"/>
      <c r="I35" s="39"/>
      <c r="J35" s="39"/>
    </row>
    <row r="36" spans="1:10" ht="45" customHeight="1" x14ac:dyDescent="0.15">
      <c r="A36" s="39"/>
      <c r="B36" s="39"/>
      <c r="C36" s="39"/>
      <c r="D36" s="39"/>
      <c r="E36" s="39"/>
      <c r="F36" s="39"/>
      <c r="G36" s="39"/>
      <c r="H36" s="39"/>
      <c r="I36" s="39"/>
      <c r="J36" s="39"/>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zoomScale="90" zoomScaleNormal="90" workbookViewId="0"/>
  </sheetViews>
  <sheetFormatPr baseColWidth="10" defaultRowHeight="16" x14ac:dyDescent="0.2"/>
  <cols>
    <col min="1" max="16384" width="10.83203125" style="1"/>
  </cols>
  <sheetData>
    <row r="35" spans="1:12" ht="16" customHeight="1" x14ac:dyDescent="0.2">
      <c r="A35" s="39" t="s">
        <v>109</v>
      </c>
      <c r="B35" s="39"/>
      <c r="C35" s="39"/>
      <c r="D35" s="39"/>
      <c r="E35" s="39"/>
      <c r="F35" s="39"/>
      <c r="G35" s="39"/>
      <c r="H35" s="39"/>
      <c r="I35" s="39"/>
      <c r="J35" s="39"/>
      <c r="K35" s="39"/>
      <c r="L35" s="39"/>
    </row>
    <row r="36" spans="1:12" x14ac:dyDescent="0.2">
      <c r="A36" s="39"/>
      <c r="B36" s="39"/>
      <c r="C36" s="39"/>
      <c r="D36" s="39"/>
      <c r="E36" s="39"/>
      <c r="F36" s="39"/>
      <c r="G36" s="39"/>
      <c r="H36" s="39"/>
      <c r="I36" s="39"/>
      <c r="J36" s="39"/>
      <c r="K36" s="39"/>
      <c r="L36" s="39"/>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90" zoomScaleNormal="90" workbookViewId="0"/>
  </sheetViews>
  <sheetFormatPr baseColWidth="10" defaultRowHeight="16" x14ac:dyDescent="0.2"/>
  <cols>
    <col min="1" max="10" width="10.83203125" style="1"/>
    <col min="11" max="11" width="16.5" style="1" customWidth="1"/>
    <col min="12" max="16384" width="10.83203125" style="1"/>
  </cols>
  <sheetData>
    <row r="35" spans="1:11" x14ac:dyDescent="0.2">
      <c r="A35" s="44" t="s">
        <v>110</v>
      </c>
      <c r="B35" s="45"/>
      <c r="C35" s="45"/>
      <c r="D35" s="45"/>
      <c r="E35" s="45"/>
      <c r="F35" s="45"/>
      <c r="G35" s="45"/>
      <c r="H35" s="45"/>
      <c r="I35" s="45"/>
      <c r="J35" s="45"/>
      <c r="K35" s="45"/>
    </row>
    <row r="36" spans="1:11" ht="33" customHeight="1" x14ac:dyDescent="0.2">
      <c r="A36" s="45"/>
      <c r="B36" s="45"/>
      <c r="C36" s="45"/>
      <c r="D36" s="45"/>
      <c r="E36" s="45"/>
      <c r="F36" s="45"/>
      <c r="G36" s="45"/>
      <c r="H36" s="45"/>
      <c r="I36" s="45"/>
      <c r="J36" s="45"/>
      <c r="K36" s="45"/>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90" zoomScaleNormal="90" workbookViewId="0"/>
  </sheetViews>
  <sheetFormatPr baseColWidth="10" defaultRowHeight="16" x14ac:dyDescent="0.2"/>
  <cols>
    <col min="1" max="16384" width="10.83203125" style="1"/>
  </cols>
  <sheetData>
    <row r="35" spans="1:11" x14ac:dyDescent="0.2">
      <c r="A35" s="44" t="s">
        <v>89</v>
      </c>
      <c r="B35" s="45"/>
      <c r="C35" s="45"/>
      <c r="D35" s="45"/>
      <c r="E35" s="45"/>
      <c r="F35" s="45"/>
      <c r="G35" s="45"/>
      <c r="H35" s="45"/>
      <c r="I35" s="45"/>
      <c r="J35" s="45"/>
      <c r="K35" s="45"/>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90" zoomScaleNormal="90" workbookViewId="0"/>
  </sheetViews>
  <sheetFormatPr baseColWidth="10" defaultRowHeight="16" x14ac:dyDescent="0.2"/>
  <cols>
    <col min="1" max="16384" width="10.83203125" style="4"/>
  </cols>
  <sheetData>
    <row r="17" spans="1:11" x14ac:dyDescent="0.2">
      <c r="A17" s="45" t="s">
        <v>90</v>
      </c>
      <c r="B17" s="45"/>
      <c r="C17" s="45"/>
      <c r="D17" s="45"/>
      <c r="E17" s="45"/>
      <c r="F17" s="45" t="s">
        <v>93</v>
      </c>
      <c r="G17" s="45"/>
      <c r="H17" s="45"/>
      <c r="I17" s="45"/>
      <c r="J17" s="45"/>
      <c r="K17" s="45"/>
    </row>
    <row r="35" spans="1:11" x14ac:dyDescent="0.2">
      <c r="A35" s="45" t="s">
        <v>91</v>
      </c>
      <c r="B35" s="45"/>
      <c r="C35" s="45"/>
      <c r="D35" s="45"/>
      <c r="E35" s="45"/>
      <c r="F35" s="45" t="s">
        <v>92</v>
      </c>
      <c r="G35" s="45"/>
      <c r="H35" s="45"/>
      <c r="I35" s="45"/>
      <c r="J35" s="45"/>
      <c r="K35" s="45"/>
    </row>
    <row r="36" spans="1:11" x14ac:dyDescent="0.2">
      <c r="A36" s="49" t="s">
        <v>94</v>
      </c>
      <c r="B36" s="49"/>
      <c r="C36" s="49"/>
      <c r="D36" s="49"/>
      <c r="E36" s="49"/>
      <c r="F36" s="49"/>
      <c r="G36" s="49"/>
      <c r="H36" s="49"/>
      <c r="I36" s="49"/>
      <c r="J36" s="49"/>
    </row>
    <row r="37" spans="1:11" x14ac:dyDescent="0.2">
      <c r="A37" s="49"/>
      <c r="B37" s="49"/>
      <c r="C37" s="49"/>
      <c r="D37" s="49"/>
      <c r="E37" s="49"/>
      <c r="F37" s="49"/>
      <c r="G37" s="49"/>
      <c r="H37" s="49"/>
      <c r="I37" s="49"/>
      <c r="J37" s="49"/>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12</vt:i4>
      </vt:variant>
    </vt:vector>
  </HeadingPairs>
  <TitlesOfParts>
    <vt:vector size="12" baseType="lpstr">
      <vt:lpstr>Data</vt:lpstr>
      <vt:lpstr>Raman</vt:lpstr>
      <vt:lpstr>XPS</vt:lpstr>
      <vt:lpstr>FTIR</vt:lpstr>
      <vt:lpstr>XRD</vt:lpstr>
      <vt:lpstr>NMR</vt:lpstr>
      <vt:lpstr>CHN</vt:lpstr>
      <vt:lpstr>ESR</vt:lpstr>
      <vt:lpstr>LDI_FTICR_MS</vt:lpstr>
      <vt:lpstr>BPCA_Results</vt:lpstr>
      <vt:lpstr>BPCA_HPLC</vt:lpstr>
      <vt:lpstr>References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Sierra Jimenez, Valentina</cp:lastModifiedBy>
  <dcterms:created xsi:type="dcterms:W3CDTF">2022-09-21T15:51:09Z</dcterms:created>
  <dcterms:modified xsi:type="dcterms:W3CDTF">2024-03-06T13:24:20Z</dcterms:modified>
</cp:coreProperties>
</file>